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autoCompressPictures="0"/>
  <mc:AlternateContent xmlns:mc="http://schemas.openxmlformats.org/markup-compatibility/2006">
    <mc:Choice Requires="x15">
      <x15ac:absPath xmlns:x15ac="http://schemas.microsoft.com/office/spreadsheetml/2010/11/ac" url="C:\Documentos\MARIBEL\CONTROL INTERNO HOSPITAL VEGACHI\INFORMES PRESENTADOS 2025\"/>
    </mc:Choice>
  </mc:AlternateContent>
  <xr:revisionPtr revIDLastSave="0" documentId="13_ncr:1_{F8431DE4-7D4D-443D-A755-BFDD86DACEE6}" xr6:coauthVersionLast="46" xr6:coauthVersionMax="47" xr10:uidLastSave="{00000000-0000-0000-0000-000000000000}"/>
  <bookViews>
    <workbookView xWindow="-108" yWindow="-108" windowWidth="23256" windowHeight="12456" activeTab="3" xr2:uid="{00000000-000D-0000-FFFF-FFFF00000000}"/>
  </bookViews>
  <sheets>
    <sheet name="Instructivo" sheetId="2" r:id="rId1"/>
    <sheet name="Estado SCI" sheetId="1" r:id="rId2"/>
    <sheet name="Análisis Resultados" sheetId="3" r:id="rId3"/>
    <sheet name="Conclusiones" sheetId="7" r:id="rId4"/>
    <sheet name="Hoja1" sheetId="6" state="hidden" r:id="rId5"/>
  </sheets>
  <definedNames>
    <definedName name="_xlnm._FilterDatabase" localSheetId="4" hidden="1">Hoja1!$A$1:$K$45</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O31" i="7" l="1"/>
  <c r="O29" i="7"/>
  <c r="M11" i="7" l="1"/>
  <c r="O37" i="7" l="1"/>
  <c r="O35" i="7"/>
  <c r="O33" i="7"/>
  <c r="J59" i="1"/>
  <c r="J58" i="1"/>
  <c r="J57" i="1"/>
  <c r="L57" i="1" s="1"/>
  <c r="G43" i="6" s="1"/>
  <c r="J56" i="1"/>
  <c r="J55" i="1"/>
  <c r="L55" i="1" s="1"/>
  <c r="G41" i="6" s="1"/>
  <c r="J54" i="1"/>
  <c r="J53" i="1"/>
  <c r="L53" i="1" s="1"/>
  <c r="G39" i="6" s="1"/>
  <c r="J52" i="1"/>
  <c r="L52" i="1" s="1"/>
  <c r="G38" i="6" s="1"/>
  <c r="J51" i="1"/>
  <c r="J50" i="1"/>
  <c r="L50" i="1" s="1"/>
  <c r="G36" i="6" s="1"/>
  <c r="I59" i="1"/>
  <c r="I58" i="1"/>
  <c r="I57" i="1"/>
  <c r="I56" i="1"/>
  <c r="F42" i="6" s="1"/>
  <c r="I55" i="1"/>
  <c r="I54" i="1"/>
  <c r="I53" i="1"/>
  <c r="I52" i="1"/>
  <c r="I51" i="1"/>
  <c r="I50" i="1"/>
  <c r="I49" i="1"/>
  <c r="I48" i="1"/>
  <c r="I47" i="1"/>
  <c r="I46" i="1"/>
  <c r="I45" i="1"/>
  <c r="I44" i="1"/>
  <c r="I43" i="1"/>
  <c r="F29" i="6" s="1"/>
  <c r="I42" i="1"/>
  <c r="I41" i="1"/>
  <c r="I40" i="1"/>
  <c r="I39" i="1"/>
  <c r="I38" i="1"/>
  <c r="F24" i="6" s="1"/>
  <c r="I37" i="1"/>
  <c r="I36" i="1"/>
  <c r="I35" i="1"/>
  <c r="I34" i="1"/>
  <c r="I33" i="1"/>
  <c r="I32" i="1"/>
  <c r="I31" i="1"/>
  <c r="I30" i="1"/>
  <c r="I29" i="1"/>
  <c r="I28" i="1"/>
  <c r="I27" i="1"/>
  <c r="F13" i="6" s="1"/>
  <c r="I26" i="1"/>
  <c r="I25" i="1"/>
  <c r="I24" i="1"/>
  <c r="I23" i="1"/>
  <c r="I22" i="1"/>
  <c r="I21" i="1"/>
  <c r="F7" i="6" s="1"/>
  <c r="I20" i="1"/>
  <c r="I19" i="1"/>
  <c r="I18" i="1"/>
  <c r="I17" i="1"/>
  <c r="I16" i="1"/>
  <c r="A59" i="1"/>
  <c r="A58" i="1"/>
  <c r="A57" i="1"/>
  <c r="A56" i="1"/>
  <c r="A55" i="1"/>
  <c r="A54" i="1"/>
  <c r="A53" i="1"/>
  <c r="A52" i="1"/>
  <c r="A51" i="1"/>
  <c r="A50" i="1"/>
  <c r="A49" i="1"/>
  <c r="A48" i="1"/>
  <c r="A47" i="1"/>
  <c r="A46" i="1"/>
  <c r="A45" i="1"/>
  <c r="A44" i="1"/>
  <c r="A43" i="1"/>
  <c r="A42" i="1"/>
  <c r="A41" i="1"/>
  <c r="A40" i="1"/>
  <c r="A39" i="1"/>
  <c r="J37" i="1"/>
  <c r="L37" i="1"/>
  <c r="J36" i="1"/>
  <c r="L36" i="1" s="1"/>
  <c r="J35" i="1"/>
  <c r="L35" i="1"/>
  <c r="J34" i="1"/>
  <c r="L34" i="1" s="1"/>
  <c r="G20" i="6" s="1"/>
  <c r="J33" i="1"/>
  <c r="L33" i="1" s="1"/>
  <c r="G19" i="6" s="1"/>
  <c r="J32" i="1"/>
  <c r="L32" i="1" s="1"/>
  <c r="G18" i="6" s="1"/>
  <c r="A38" i="1"/>
  <c r="A37" i="1"/>
  <c r="A36" i="1"/>
  <c r="A35" i="1"/>
  <c r="A34" i="1"/>
  <c r="A33" i="1"/>
  <c r="A32" i="1"/>
  <c r="L59" i="1"/>
  <c r="L58" i="1"/>
  <c r="L56" i="1"/>
  <c r="L54" i="1"/>
  <c r="L51" i="1"/>
  <c r="G37" i="6" s="1"/>
  <c r="J49" i="1"/>
  <c r="L49" i="1" s="1"/>
  <c r="J48" i="1"/>
  <c r="L48" i="1" s="1"/>
  <c r="J47" i="1"/>
  <c r="L47" i="1" s="1"/>
  <c r="G33" i="6" s="1"/>
  <c r="J46" i="1"/>
  <c r="L46" i="1" s="1"/>
  <c r="J45" i="1"/>
  <c r="L45" i="1"/>
  <c r="J44" i="1"/>
  <c r="L44" i="1" s="1"/>
  <c r="J43" i="1"/>
  <c r="L43" i="1" s="1"/>
  <c r="J42" i="1"/>
  <c r="L42" i="1" s="1"/>
  <c r="J41" i="1"/>
  <c r="L41" i="1" s="1"/>
  <c r="G27" i="6" s="1"/>
  <c r="J40" i="1"/>
  <c r="L40" i="1" s="1"/>
  <c r="J39" i="1"/>
  <c r="L39" i="1" s="1"/>
  <c r="G25" i="6" s="1"/>
  <c r="J38" i="1"/>
  <c r="L38" i="1" s="1"/>
  <c r="J31" i="1"/>
  <c r="L31" i="1" s="1"/>
  <c r="G17" i="6" s="1"/>
  <c r="J30" i="1"/>
  <c r="L30" i="1" s="1"/>
  <c r="J29" i="1"/>
  <c r="L29" i="1"/>
  <c r="J28" i="1"/>
  <c r="L28" i="1" s="1"/>
  <c r="J27" i="1"/>
  <c r="L27" i="1" s="1"/>
  <c r="G13" i="6" s="1"/>
  <c r="J26" i="1"/>
  <c r="L26" i="1" s="1"/>
  <c r="J25" i="1"/>
  <c r="L25" i="1"/>
  <c r="J24" i="1"/>
  <c r="L24" i="1" s="1"/>
  <c r="J23" i="1"/>
  <c r="L23" i="1" s="1"/>
  <c r="G9" i="6" s="1"/>
  <c r="J22" i="1"/>
  <c r="L22" i="1" s="1"/>
  <c r="J21" i="1"/>
  <c r="L21" i="1" s="1"/>
  <c r="G7" i="6" s="1"/>
  <c r="J20" i="1"/>
  <c r="L20" i="1" s="1"/>
  <c r="J19" i="1"/>
  <c r="L19" i="1" s="1"/>
  <c r="G5" i="6" s="1"/>
  <c r="J18" i="1"/>
  <c r="L18" i="1" s="1"/>
  <c r="J17" i="1"/>
  <c r="L17" i="1" s="1"/>
  <c r="J16" i="1"/>
  <c r="L16" i="1" s="1"/>
  <c r="A31" i="1"/>
  <c r="A30" i="1"/>
  <c r="A29" i="1"/>
  <c r="A28" i="1"/>
  <c r="A27" i="1"/>
  <c r="A26" i="1"/>
  <c r="A25" i="1"/>
  <c r="A24" i="1"/>
  <c r="A23" i="1"/>
  <c r="A22" i="1"/>
  <c r="A21" i="1"/>
  <c r="A20" i="1"/>
  <c r="A19" i="1"/>
  <c r="A18" i="1"/>
  <c r="A17" i="1"/>
  <c r="A16" i="1"/>
  <c r="I19" i="6" s="1"/>
  <c r="J19" i="6" s="1"/>
  <c r="I3" i="6"/>
  <c r="J3" i="6" s="1"/>
  <c r="I11" i="6"/>
  <c r="J11" i="6" s="1"/>
  <c r="I25" i="6"/>
  <c r="J25" i="6" s="1"/>
  <c r="I33" i="6"/>
  <c r="J33" i="6" s="1"/>
  <c r="I41" i="6"/>
  <c r="J41" i="6" s="1"/>
  <c r="I4" i="6"/>
  <c r="J4" i="6" s="1"/>
  <c r="I12" i="6"/>
  <c r="J12" i="6" s="1"/>
  <c r="I20" i="6"/>
  <c r="J20" i="6" s="1"/>
  <c r="I34" i="6"/>
  <c r="J34" i="6" s="1"/>
  <c r="I42" i="6"/>
  <c r="J42" i="6" s="1"/>
  <c r="B36" i="6"/>
  <c r="I13" i="6"/>
  <c r="J13" i="6" s="1"/>
  <c r="I27" i="6"/>
  <c r="J27" i="6" s="1"/>
  <c r="I35" i="6"/>
  <c r="J35"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0" i="6"/>
  <c r="F10" i="6"/>
  <c r="F18" i="6"/>
  <c r="F32" i="6"/>
  <c r="F40" i="6"/>
  <c r="F27" i="6"/>
  <c r="F14" i="6"/>
  <c r="F36" i="6"/>
  <c r="F22" i="6"/>
  <c r="F45" i="6"/>
  <c r="F8" i="6"/>
  <c r="F30" i="6"/>
  <c r="G11" i="6"/>
  <c r="F17" i="6"/>
  <c r="G31" i="6"/>
  <c r="F3" i="6"/>
  <c r="F11" i="6"/>
  <c r="F19" i="6"/>
  <c r="F25" i="6"/>
  <c r="F33" i="6"/>
  <c r="F41" i="6"/>
  <c r="G15" i="6"/>
  <c r="F5" i="6"/>
  <c r="F43" i="6"/>
  <c r="G44" i="6"/>
  <c r="G21" i="6"/>
  <c r="F6" i="6"/>
  <c r="F28" i="6"/>
  <c r="F23" i="6"/>
  <c r="F2" i="6"/>
  <c r="F9" i="6"/>
  <c r="F39" i="6"/>
  <c r="G23" i="6"/>
  <c r="F4" i="6"/>
  <c r="F12" i="6"/>
  <c r="F20" i="6"/>
  <c r="F26" i="6"/>
  <c r="F34" i="6"/>
  <c r="G45" i="6"/>
  <c r="F35" i="6"/>
  <c r="F21" i="6"/>
  <c r="F44" i="6"/>
  <c r="F15" i="6"/>
  <c r="F37" i="6"/>
  <c r="G42" i="6"/>
  <c r="F16" i="6"/>
  <c r="F38" i="6"/>
  <c r="F31" i="6"/>
  <c r="G4" i="6" l="1"/>
  <c r="G12" i="6"/>
  <c r="G26" i="6"/>
  <c r="G29" i="6"/>
  <c r="G32" i="6"/>
  <c r="G35" i="6"/>
  <c r="G10" i="6"/>
  <c r="G24" i="6"/>
  <c r="G30" i="6"/>
  <c r="G2" i="6"/>
  <c r="G8" i="6"/>
  <c r="G16" i="6"/>
  <c r="G22" i="6"/>
  <c r="I43" i="6"/>
  <c r="J43" i="6" s="1"/>
  <c r="K36" i="6" s="1"/>
  <c r="I5" i="6"/>
  <c r="J5" i="6" s="1"/>
  <c r="K3" i="6" s="1"/>
  <c r="I26" i="6"/>
  <c r="J26" i="6" s="1"/>
  <c r="K25" i="6" s="1"/>
  <c r="B29" i="6"/>
  <c r="G3" i="6"/>
  <c r="G6" i="6"/>
  <c r="G14" i="6"/>
  <c r="G28" i="6"/>
  <c r="G34" i="6"/>
  <c r="K17" i="6"/>
  <c r="K22" i="6"/>
  <c r="K14" i="6"/>
  <c r="K19" i="6"/>
  <c r="K15" i="6"/>
  <c r="K21" i="6"/>
  <c r="K23" i="6"/>
  <c r="K18" i="6"/>
  <c r="K20" i="6"/>
  <c r="K16" i="6"/>
  <c r="K35" i="6"/>
  <c r="K34" i="6"/>
  <c r="K32" i="6"/>
  <c r="K33" i="6"/>
  <c r="K31" i="6"/>
  <c r="K29" i="6"/>
  <c r="K30" i="6"/>
  <c r="K11" i="6" l="1"/>
  <c r="K7" i="6"/>
  <c r="K5" i="6"/>
  <c r="K41" i="6"/>
  <c r="K6" i="6"/>
  <c r="K4" i="6"/>
  <c r="K2" i="6"/>
  <c r="K40" i="6"/>
  <c r="K39" i="6"/>
  <c r="K43" i="6"/>
  <c r="K12" i="6"/>
  <c r="K24" i="6"/>
  <c r="K8" i="6"/>
  <c r="K10" i="6"/>
  <c r="K13" i="6"/>
  <c r="K9" i="6"/>
  <c r="K26" i="6"/>
  <c r="K37" i="6"/>
  <c r="K28" i="6"/>
  <c r="K27" i="6"/>
  <c r="K42" i="6"/>
  <c r="K45" i="6"/>
  <c r="H3" i="6"/>
  <c r="H34" i="6"/>
  <c r="H12" i="6"/>
  <c r="H24" i="6"/>
  <c r="H37" i="6"/>
  <c r="H4" i="6"/>
  <c r="H25" i="6"/>
  <c r="H6" i="6"/>
  <c r="H33" i="6"/>
  <c r="H17" i="6"/>
  <c r="H5" i="6"/>
  <c r="H26" i="6"/>
  <c r="K38" i="6"/>
  <c r="H8" i="6"/>
  <c r="H32" i="6"/>
  <c r="H11" i="6"/>
  <c r="H22" i="6"/>
  <c r="H30" i="6"/>
  <c r="H23" i="6"/>
  <c r="H18" i="6"/>
  <c r="H31" i="6"/>
  <c r="H13" i="6"/>
  <c r="H41" i="6"/>
  <c r="H9" i="6"/>
  <c r="H7" i="6"/>
  <c r="H2" i="6"/>
  <c r="H28" i="6"/>
  <c r="H16" i="6"/>
  <c r="H35" i="6"/>
  <c r="H20" i="6"/>
  <c r="H36" i="6"/>
  <c r="H45" i="6"/>
  <c r="H29" i="6"/>
  <c r="H21" i="6"/>
  <c r="H39" i="6"/>
  <c r="H27" i="6"/>
  <c r="K44" i="6"/>
  <c r="H14" i="6"/>
  <c r="H40" i="6"/>
  <c r="H44" i="6"/>
  <c r="H19" i="6"/>
  <c r="H42" i="6"/>
  <c r="H43" i="6"/>
  <c r="H38" i="6"/>
  <c r="H10" i="6"/>
  <c r="H15" i="6"/>
  <c r="F51" i="3" l="1"/>
  <c r="I51" i="3" s="1"/>
  <c r="F24" i="3"/>
  <c r="I24" i="3" s="1"/>
  <c r="F30" i="3"/>
  <c r="G30" i="3" s="1"/>
  <c r="E22" i="3"/>
  <c r="E40" i="3"/>
  <c r="E41" i="3"/>
  <c r="E38" i="3"/>
  <c r="F44" i="3"/>
  <c r="I44" i="3" s="1"/>
  <c r="E29" i="3"/>
  <c r="E42" i="3"/>
  <c r="F29" i="3"/>
  <c r="I29" i="3" s="1"/>
  <c r="E44" i="3"/>
  <c r="F38" i="3"/>
  <c r="I38" i="3" s="1"/>
  <c r="F52" i="3"/>
  <c r="I52" i="3" s="1"/>
  <c r="E34" i="3"/>
  <c r="E47" i="3"/>
  <c r="E30" i="3"/>
  <c r="E52" i="3"/>
  <c r="F46" i="3"/>
  <c r="I46" i="3" s="1"/>
  <c r="E27" i="3"/>
  <c r="E36" i="3"/>
  <c r="F36" i="3"/>
  <c r="I36" i="3" s="1"/>
  <c r="E55" i="3"/>
  <c r="F48" i="3"/>
  <c r="G48" i="3" s="1"/>
  <c r="E28" i="3"/>
  <c r="E39" i="3"/>
  <c r="F22" i="3"/>
  <c r="I22" i="3" s="1"/>
  <c r="E54" i="3"/>
  <c r="F62" i="3"/>
  <c r="I62" i="3" s="1"/>
  <c r="E37" i="3"/>
  <c r="F49" i="3"/>
  <c r="G49" i="3" s="1"/>
  <c r="F34" i="3"/>
  <c r="I34" i="3" s="1"/>
  <c r="E24" i="3"/>
  <c r="F23" i="3"/>
  <c r="G23" i="3" s="1"/>
  <c r="E59" i="3"/>
  <c r="E21" i="3"/>
  <c r="E46" i="3"/>
  <c r="E56" i="3"/>
  <c r="F60" i="3"/>
  <c r="G60" i="3" s="1"/>
  <c r="F54" i="3"/>
  <c r="I54" i="3" s="1"/>
  <c r="E32" i="3"/>
  <c r="E61" i="3"/>
  <c r="E57" i="3"/>
  <c r="F27" i="3"/>
  <c r="G27" i="3" s="1"/>
  <c r="F61" i="3"/>
  <c r="G61" i="3" s="1"/>
  <c r="F39" i="3"/>
  <c r="G39" i="3" s="1"/>
  <c r="E48" i="3"/>
  <c r="E26" i="3"/>
  <c r="F35" i="3"/>
  <c r="G35" i="3" s="1"/>
  <c r="F33" i="3"/>
  <c r="G33" i="3" s="1"/>
  <c r="F47" i="3"/>
  <c r="I47" i="3" s="1"/>
  <c r="E49" i="3"/>
  <c r="E58" i="3"/>
  <c r="F43" i="3"/>
  <c r="I43" i="3" s="1"/>
  <c r="F57" i="3"/>
  <c r="G57" i="3" s="1"/>
  <c r="F55" i="3"/>
  <c r="I55" i="3" s="1"/>
  <c r="E35" i="3"/>
  <c r="E60" i="3"/>
  <c r="F28" i="3"/>
  <c r="I28" i="3" s="1"/>
  <c r="F56" i="3"/>
  <c r="I56" i="3" s="1"/>
  <c r="F41" i="3"/>
  <c r="G41" i="3" s="1"/>
  <c r="F26" i="3"/>
  <c r="I26" i="3" s="1"/>
  <c r="E62" i="3"/>
  <c r="F50" i="3"/>
  <c r="G50" i="3" s="1"/>
  <c r="E45" i="3"/>
  <c r="F42" i="3"/>
  <c r="I42" i="3" s="1"/>
  <c r="F58" i="3"/>
  <c r="G58" i="3" s="1"/>
  <c r="E33" i="3"/>
  <c r="E53" i="3"/>
  <c r="E25" i="3"/>
  <c r="F19" i="3"/>
  <c r="G19" i="3" s="1"/>
  <c r="F21" i="3"/>
  <c r="I21" i="3" s="1"/>
  <c r="F31" i="3"/>
  <c r="I31" i="3" s="1"/>
  <c r="E19" i="3"/>
  <c r="E50" i="3"/>
  <c r="E51" i="3"/>
  <c r="F59" i="3"/>
  <c r="G59" i="3" s="1"/>
  <c r="F37" i="3"/>
  <c r="I37" i="3" s="1"/>
  <c r="F32" i="3"/>
  <c r="G32" i="3" s="1"/>
  <c r="E43" i="3"/>
  <c r="E23" i="3"/>
  <c r="F25" i="3"/>
  <c r="G25" i="3" s="1"/>
  <c r="F45" i="3"/>
  <c r="I45" i="3" s="1"/>
  <c r="F40" i="3"/>
  <c r="G40" i="3" s="1"/>
  <c r="E20" i="3"/>
  <c r="E31" i="3"/>
  <c r="F20" i="3"/>
  <c r="G20" i="3" s="1"/>
  <c r="F53" i="3"/>
  <c r="I53" i="3" s="1"/>
  <c r="G38" i="3"/>
  <c r="G46" i="3" l="1"/>
  <c r="I61" i="3"/>
  <c r="G29" i="3"/>
  <c r="G22" i="3"/>
  <c r="I41" i="3"/>
  <c r="J41" i="3" s="1"/>
  <c r="G51" i="3"/>
  <c r="G31" i="3"/>
  <c r="I59" i="3"/>
  <c r="I35" i="3"/>
  <c r="G62" i="3"/>
  <c r="I30" i="3"/>
  <c r="I49" i="3"/>
  <c r="G24" i="3"/>
  <c r="I23" i="3"/>
  <c r="I48" i="3"/>
  <c r="I60" i="3"/>
  <c r="G56" i="3"/>
  <c r="G21" i="3"/>
  <c r="I58" i="3"/>
  <c r="G47" i="3"/>
  <c r="I50" i="3"/>
  <c r="I27" i="3"/>
  <c r="G28" i="3"/>
  <c r="I32" i="3"/>
  <c r="I20" i="3"/>
  <c r="G45" i="3"/>
  <c r="I19" i="3"/>
  <c r="I57" i="3"/>
  <c r="G34" i="3"/>
  <c r="G55" i="3"/>
  <c r="G54" i="3"/>
  <c r="G44" i="3"/>
  <c r="G53" i="3"/>
  <c r="I40" i="3"/>
  <c r="G52" i="3"/>
  <c r="G36" i="3"/>
  <c r="G26" i="3"/>
  <c r="G42" i="3"/>
  <c r="I25" i="3"/>
  <c r="G37" i="3"/>
  <c r="G43" i="3"/>
  <c r="I33" i="3"/>
  <c r="I39" i="3"/>
  <c r="J46" i="3" l="1"/>
  <c r="J53" i="3"/>
  <c r="J19" i="3"/>
  <c r="J31" i="3"/>
</calcChain>
</file>

<file path=xl/sharedStrings.xml><?xml version="1.0" encoding="utf-8"?>
<sst xmlns="http://schemas.openxmlformats.org/spreadsheetml/2006/main" count="542" uniqueCount="264">
  <si>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</si>
  <si>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</si>
  <si>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</si>
  <si>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</si>
  <si>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</si>
  <si>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</si>
  <si>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</si>
  <si>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</si>
  <si>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</si>
  <si>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</si>
  <si>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</si>
  <si>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</si>
  <si>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</si>
  <si>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</si>
  <si>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</si>
  <si>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</si>
  <si>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</si>
  <si>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</si>
  <si>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</si>
  <si>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</si>
  <si>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</si>
  <si>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</si>
  <si>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</si>
  <si>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</si>
  <si>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</si>
  <si>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</si>
  <si>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</si>
  <si>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</si>
  <si>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</si>
  <si>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</si>
  <si>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</si>
  <si>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</si>
  <si>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</si>
  <si>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</si>
  <si>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</si>
  <si>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</si>
  <si>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</si>
  <si>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</si>
  <si>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</si>
  <si>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</si>
  <si>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</si>
  <si>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</si>
  <si>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</si>
  <si>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</si>
  <si>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</si>
  <si>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</si>
  <si>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</si>
  <si>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</si>
  <si>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</si>
  <si>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</si>
  <si>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</si>
  <si>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</si>
  <si>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</si>
  <si>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</si>
  <si>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</si>
  <si>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</si>
  <si>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</si>
  <si>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</si>
  <si>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</si>
  <si>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</si>
  <si>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</si>
  <si>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</si>
  <si>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</si>
  <si>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</si>
  <si>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</si>
  <si>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</si>
  <si>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</si>
  <si>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</si>
  <si>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</si>
  <si>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</si>
  <si>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</si>
  <si>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</si>
  <si>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</si>
  <si>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</si>
  <si>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</si>
  <si>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</si>
  <si>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</si>
  <si>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</si>
  <si>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</si>
  <si>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</si>
  <si>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</si>
  <si>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</si>
  <si>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</si>
  <si>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</si>
  <si>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</si>
  <si>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</si>
  <si>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</si>
  <si>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</si>
  <si>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</si>
  <si>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</si>
  <si>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</si>
  <si>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</si>
  <si>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</si>
  <si>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</si>
  <si>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</si>
  <si>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</si>
  <si>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</si>
  <si>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</si>
  <si>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</si>
  <si>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</si>
  <si>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</si>
  <si>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</si>
  <si>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</si>
  <si>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</si>
  <si>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</si>
  <si>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</si>
  <si>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</si>
  <si>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</si>
  <si>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</si>
  <si>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</si>
  <si>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</si>
  <si>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</si>
  <si>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</si>
  <si>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</si>
  <si>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</si>
  <si>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</si>
  <si>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</si>
  <si>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</si>
  <si>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</si>
  <si>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</si>
  <si>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</si>
  <si>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</si>
  <si>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</si>
  <si>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</si>
  <si>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</si>
  <si>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</si>
  <si>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</si>
  <si>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</si>
  <si>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</si>
  <si>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</si>
  <si>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</si>
  <si>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</si>
  <si>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Nivel de Cumplimiento componente</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</si>
  <si>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</si>
  <si>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</si>
  <si>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</si>
  <si>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</si>
  <si>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</si>
  <si>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</si>
  <si>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</si>
  <si>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</si>
  <si>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</si>
  <si>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</si>
  <si>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</si>
  <si>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</si>
  <si>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</si>
  <si>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</si>
  <si>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</si>
  <si>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</si>
  <si>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</si>
  <si>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</si>
  <si>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</si>
  <si>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</si>
  <si>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</si>
  <si>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</si>
  <si>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</si>
  <si>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</si>
  <si>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</si>
  <si>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</si>
  <si>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</si>
  <si>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</si>
  <si>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</si>
  <si>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</si>
  <si>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</si>
  <si>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</si>
  <si>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</si>
  <si>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</si>
  <si>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</si>
  <si>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</si>
  <si>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</si>
  <si>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</si>
  <si>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</si>
  <si>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</si>
  <si>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</si>
  <si>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</si>
  <si>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</si>
  <si>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</si>
  <si>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</si>
  <si>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</si>
  <si>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</si>
  <si>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</si>
  <si>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</si>
  <si>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</si>
  <si>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</si>
  <si>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</si>
  <si>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</si>
  <si>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Si bien es cierto existe un manual de funciones para los servidores, éste se encuentra desactualizado</t>
  </si>
  <si>
    <t>La entidad no cuenta con definición de procesos de desvinculación de servidores que se ajuste a lo previsto en la norma.</t>
  </si>
  <si>
    <t>La entidad realizó la rendición de cuentas conforme la normativa, en lo que respecta tanto a los medios, como a las fechas y los contenidos.</t>
  </si>
  <si>
    <t>Si bien es cierto que la entidad cuenta con instancias para el análisis y manjeo de los problemas institucionales (comités), aún no se cuenta con acciones sistemáticas de seguimiento y ajuste de acciones, lo que hace que la gestión sea mayormente reactiva</t>
  </si>
  <si>
    <t>Adicional a los canales virtuales de acceso activo a la información, la entidad realiza los Reportes institucionales, Plataforma SIHO Decreto. 2193 de 2004</t>
  </si>
  <si>
    <t>La entidad no cuenta con participación en al Comité Municipal de Control Interno</t>
  </si>
  <si>
    <t>La entidad cuenta con un organigrama formalmente adoptado.</t>
  </si>
  <si>
    <t>¿El componente está presente y funcionando?</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</si>
  <si>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</si>
  <si>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</si>
  <si>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</si>
  <si>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</si>
  <si>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</si>
  <si>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Evaluación de riesgos</t>
  </si>
  <si>
    <t>Actividades de control</t>
  </si>
  <si>
    <t>Información y comunicación</t>
  </si>
  <si>
    <t xml:space="preserve">Monitoreo </t>
  </si>
  <si>
    <t>La entidad cuenta con instancias para el análisis y manejo de los problemas institucionales (comités), sin embargo las acciones no son sistemáticas, lo que hace que la gestión sea mayormente reactiva</t>
  </si>
  <si>
    <t>La entidad realiza el anáisis de eventos adversos y la gestión de los mismos</t>
  </si>
  <si>
    <t xml:space="preserve">Para la vigencia 2025 programa de transparecia y etica </t>
  </si>
  <si>
    <t>Se realiza seguimiento a las acciones en los comités</t>
  </si>
  <si>
    <t>Se realiza seguimiento y gestión de las acciones en los comités</t>
  </si>
  <si>
    <t>ESE HOSITAL SAN CAMILO LELIS VEGACHI</t>
  </si>
  <si>
    <t>Se han identificado avances significativos en cuanto al ambiente de control dentro de la institución, destacándose el firme compromiso de la gerencia en este proceso. En este sentido, la entidad ya cuenta con un responsable de control interno, lo que fortalece la supervisión y gestión de los procesos. Además, se ha creado el Comité Institucional de Coordinación de Control Interno, que contribuye a la articulación y vigilancia de las acciones en esta área.
Por otro lado, los líderes de procesos están asumiendo un papel crucial como una efectiva línea de defensa, lo que refuerza la estructura interna de control. Sin embargo, es necesario fortalecer ciertos aspectos, como los programas de inducción y re-inducción para el personal, iniciativas de bienestar e incentivos, y la implementación de planes de capacitación continua. También se deben priorizar la seguridad y salud en el trabajo, la provisión de empleos vacantes, la evaluación de desempeño, y la actualización de la información en el SIGEP.
Asimismo, se debe promover una mayor apropiación del Código de Integridad, asegurando que todos los empleados se identifiquen con los valores éticos y principios que guían la institución. La motivación del personal es clave para mantener un ambiente laboral positivo y productivo.
Finalmente, es esencial que el jefe de control interno realice un monitoreo constante del cumplimiento de los estándares de conducta establecidos, asegurando que los principios y valores del servicio público sean efectivamente practicados en todas las actividades y decisiones dentro de la E.S.E. Hospital San Camilo Lelis.</t>
  </si>
  <si>
    <t xml:space="preserve">Sede realizar la elaboración del mapa de reisgos de la entidad y continuar con la ejecución de actividades relacionadas como la gestión y seguimiento de eventos en comites
</t>
  </si>
  <si>
    <t>La entidad ya dispone de una página web funcional, a través de la cual se comunica de manera efectiva con la comunidad y mantiene transparencia en su gestión. Asimismo, la estructura organizacional cuenta con líneas de mando y autoridad claramente definidas, lo que facilita la asignación de responsabilidades y la toma de decisiones. En cuanto a los procesos y procedimientos internos, se encuentra disponible información institucional relevante para su consulta y evaluación.
Además, la E.S.E. realiza actualizaciones periódicas sobre los resultados de la evaluación de la percepción de los usuarios, lo que permite conocer sus opiniones y ajustar los servicios conforme a sus expectativas y necesidades. La entidad también cuenta con procesos establecidos para el manejo adecuado de la información tanto externa como interna, asegurando la correcta circulación y protección de los datos.
No obstante, es necesario continuar con la implementación y seguimiento de estos procesos, asegurando que se mantengan actualizados y sean cumplidos de manera eficiente, con el fin de mejorar la calidad del servicio y fortalecer la transparencia institucional.</t>
  </si>
  <si>
    <t>Es importante la contratación de un jefe de control interno debido a que no se tuvo por dificultades en la contratación asi el informe es elaborado  por la gerencia indagando con los asesores sobre el estado de los compenentes del mismo</t>
  </si>
  <si>
    <t xml:space="preserve">CONTROL GERENCIAL </t>
  </si>
  <si>
    <t xml:space="preserve">INFORME DE CONTROL INTERNO </t>
  </si>
  <si>
    <t xml:space="preserve">Código: </t>
  </si>
  <si>
    <t>Versión:</t>
  </si>
  <si>
    <t xml:space="preserve">Fecha Actualización: </t>
  </si>
  <si>
    <t xml:space="preserve">Página: </t>
  </si>
  <si>
    <t>CIC-IF-02</t>
  </si>
  <si>
    <t>02</t>
  </si>
  <si>
    <t>1 de 1</t>
  </si>
  <si>
    <t>APROBÓ:</t>
  </si>
  <si>
    <t>REVISÓ:</t>
  </si>
  <si>
    <t>ELABORÓ:</t>
  </si>
  <si>
    <t xml:space="preserve">Asesor </t>
  </si>
  <si>
    <t xml:space="preserve">Gerente </t>
  </si>
  <si>
    <t>La entidad se encuentra adelantando un documento actualizado de apoción del MECI</t>
  </si>
  <si>
    <t xml:space="preserve">Falta actualizar el código de integridad con la nueva plataforma estratégica. </t>
  </si>
  <si>
    <t>En el  2025 se construyeron la totalidad de los planes integrados establecidos por Ley.</t>
  </si>
  <si>
    <t>Se realizan por la Subdirección Administrativa y Talento Humano y en asocio con COMFENALCO</t>
  </si>
  <si>
    <t>La entidad realizó la identifiación de los factores del entorno y éstos fueron incluidos en el plan de desarrollo 2024-2028 (factores crítico internos y externos)</t>
  </si>
  <si>
    <t>La entidad realizó la identifiación de los potenciales problemas o aspectos que pudieran afectar los planes y éstos fueron incluidos en el plan de desarrollo 2024-2028 (factores crítico internos y externos)</t>
  </si>
  <si>
    <t xml:space="preserve">Se realiza en comité de seguridad y COVE, pero es necesario actualizar el mapa de riesgos </t>
  </si>
  <si>
    <t xml:space="preserve">Se realiza en comité de seguridad y COVE, pero es necesario realizar actualización del mapa de riesgos </t>
  </si>
  <si>
    <t xml:space="preserve">En el 2025 se contratá por prestación de servicios asesoría y fortalecimiento del sistema de Control Interno </t>
  </si>
  <si>
    <t>La entidad cuenta con un mapa de riesgos pero se encuentra pendiente de actualización, para que se apliquen las acciones sistemáticas de seguimiento y ajuste de acciones Sin embargo, la entidad lo realiza en el actual plan anticorrupción.</t>
  </si>
  <si>
    <t>La entidad cuenta con diversos canales de comunicación a los ciudadanos tales como la oficina de atención e información al usuario (SIAU), página web y líneas telefónicas</t>
  </si>
  <si>
    <t>Se produce información y se entrega a los usuarios de ella sin embargo la institución aún no cuenta con un catálogo de la información que produce.</t>
  </si>
  <si>
    <t>La entidad realizó la documentación y publicación de talento humano, infraestructura física y tecnológica, la cual se publicó y se desplegó conforme la normativa, sin embargo se encuentra pendiente la adecuada publicación del presupuesto y de la información financiera.</t>
  </si>
  <si>
    <t>La institución realizó publicaciones en la página web, tanto en infraestructura y como en sus contenidos, de acuerdo a lo estipilado por la normativa vigente, sin embargo se encuentran pendientes la publicación de de contenido como la información financiera y actualización de la ultima actaulización de la plataforma estratégica-</t>
  </si>
  <si>
    <t xml:space="preserve">Se debe actualizar el mapa de riesgos de la institución, lo cual permitirá la gestión de los mismos. Sin enbargo en los diferentes comites se estructuran acciones de mejoramiento </t>
  </si>
  <si>
    <t xml:space="preserve">Los procedimientos de la diferentes áreas, se vienen actualizando desde el año 2024, para las áreas de Urgencias, Laboratorio, Odontología, SIAU, entre otros, los cuales se encuentran en la carpeta instalada en el escritorio del computador del área correspondiente, guardando copia de éstos en el área de gestión documental. </t>
  </si>
  <si>
    <t>Actualmente tenemos cuatro auxiliares de enfermeria en carrera  Administrativa y 29 cargos en provisionalidad</t>
  </si>
  <si>
    <t>La entidad llevó a cabo las evaluaciones de los funconarios correspondiente a la normatividad</t>
  </si>
  <si>
    <t>La entidad realizó la presentación de informes conforme la normativa, Se entregan oportunamente a contraloria, contaduria, siho, 030, deudores morosos entre otros</t>
  </si>
  <si>
    <t>La entidad cuenta con el mapa de riesgos de corrupción, falta hacer el seguimiento períodico al mapa y plan anticorrupción</t>
  </si>
  <si>
    <t>La entidad cuenta con un mapa de riesgos que incluye parcialmente dichos aspectos pero desactualizado, sin mebargo se cuentan planes y politicas realcionadas con las tecnologias de la información</t>
  </si>
  <si>
    <t>Se cuenta con mapa de riesgos pero está desactualizado, se realiza analisis de eventos adversos y gestión de los mimos</t>
  </si>
  <si>
    <t>Los informes son subidos a los diferentes entes de control acorde a la normatividad vigente, sin embargo no se suben a la página Web los informes financieros-</t>
  </si>
  <si>
    <t>Lo define en los planes integrados de 2025</t>
  </si>
  <si>
    <t>Se realizó la revisión del manual de procesos y procedmiento. Alli se definen los puntos de control y se documentarán los mecanismos de monitoreo, pero hay áreas que aún están en revisión y actualización.</t>
  </si>
  <si>
    <t>La entidad cuenta con cuadros de mando, indicadores, listasa de chequeo</t>
  </si>
  <si>
    <t>PRIMER SEMESTRE 2025</t>
  </si>
  <si>
    <t>Aunque todos los componentes del Sistema de Control Interno (Ambiente de Control, Evaluación del Riesgo, Actividades de Control, Información y Comunicación, y Actividades de Monitoreo) presentan niveles de avance y se identifican acciones en ejecución, los resultados muestran que varios aspectos aún se encuentran solo en proceso de implementación o requieren fortalecimiento. Algunos requerimientos clave no están completamente consolidados, como la identificación y gestión de riesgos, la participación en instancias externas de control y la integración plena de la información para la toma de decisiones. Por ello, se concluye que los componentes funcionan de forma parcialmente articulada y requieren mayor integración operativa.</t>
  </si>
  <si>
    <t xml:space="preserve">El análisis evidencia que, si bien existen lineamientos, documentos y prácticas en ejecución, su nivel de desarrollo no es uniforme en todos los componentes. Algunos aspectos fundamentales presentan incumplimientos o están en etapa de desarrollo, lo que limita la capacidad del sistema para prevenir riesgos, garantizar la rendición de cuentas y fortalecer el autocontrol. Esto indica que el Sistema de Control Interno aún no alcanza un nivel de efectividad total para garantizar el logro de los objetivos institucionales.
</t>
  </si>
  <si>
    <t>La entidad dispone de documentos, estructuras organizacionales y responsables definidos, como se evidencia en aspectos como el organigrama, manual de funciones, planes y mecanismos de rendición de cuentas. Además, cuenta con prácticas para la evaluación de la gestión, medidas correctivas y seguimiento de planes de mejoramiento. Esto refleja que existe una institucionalidad básica que sustenta la toma de decisiones dentro del marco de las líneas de defensa, aunque requiere fortalecimiento continuo para cerrar las brechas identificadas y mantener la efectividad del sistema.</t>
  </si>
  <si>
    <t>SI</t>
  </si>
  <si>
    <t xml:space="preserve">La entidad debe llevar a cabo las acciones necesarias para garantizar el cumplimiento del componente de evaluación del riesgo. En este sentido,se deben documentar tanto los riesgos de corrupción como los riesgos misionales, los cuales constituyen la base para el desarrollo de las demás acciones dentro de este componente. Además, aprobar y documentar la política y el mapa de riesgos, permitiendo un análisis y valoración sistemática de los riesgos institucionales.
</t>
  </si>
  <si>
    <t>Fortalezas:
La entidad cuenta con estructura organizacional formalizada (organigrama) y manual de funciones actualizado.
Se evidencia el cumplimiento de los procesos de vinculación, inducción, capacitación y evaluación de servidores públicos conforme a la normativa.
Existen mecanismos de rendición de cuentas y presentación oportuna de informes de gestión.
Debilidades:
Se identifican vacíos en la formalización de procesos clave como la desvinculación de servidores.
El documento de adopción del MECI, el código de ética y la documentación de procesos aún se encuentran en proceso de actualización.
Requiere fortalecer acciones para garantizar la integralidad y mantenimiento de las líneas de defensa.</t>
  </si>
  <si>
    <t xml:space="preserve">Fortalezas:
Existe identificación de cambios en el entorno que puedan afectar la gestión institucional.
Se reconocen riesgos generales y se definen acciones cuando interviene un organismo de control.
Debilidades:
Persiste la ausencia de espacios estructurados de reunión para análisis de riesgos y acciones autónomas por parte de los equipos.
La identificación de riesgos asociados a corrupción y tecnologías de la información se encuentra incompleta.
Los seguimientos, reportes periódicos y ajustes a los controles de riesgo requieren fortalecerse.
</t>
  </si>
  <si>
    <t xml:space="preserve">Fortalezas:
Existen planes anticorrupción y de servicio al ciudadano publicados para conocimiento de la comunidad.
Se define la formulación de acciones para mitigar riesgos y subsanar consecuencias.
Debilidades:
El proceso de consolidación de riesgos y su tratamiento aún se encuentra en proceso.
Los mecanismos de verificación y los planes de contingencia requieren mayor desarrollo e implementación efectiva.
</t>
  </si>
  <si>
    <t>Fortalezas:
Se identifican canales de comunicación o mecanismos de reporte con organismos de control y lineamientos para el manejo de información reservada.
Se evidencia avance en la gestión de información relevante para la operación.
Debilidades:
Los responsables de la información, la definición de canales con la ciudadanía y la identificación de información clave se encuentran en proceso de fortalecimiento.
Se requiere optimizar la capacidad tecnológica y de infraestructura para soportar estos procesos de forma adecuada.</t>
  </si>
  <si>
    <t>Fortalezas:
Se aplican mecanismos de evaluación de la gestión (cronogramas, indicadores, listas de chequeo).
Existen medidas correctivas y seguimiento a planes de mejoramiento con instancias internas y externas.
Debilidades:
La entidad no participa aún en el Comité Municipal de Auditoría.
Los procesos de control de puntos críticos, diseño y ejecución de acciones correctivas frente a riesgos aún están en proceso.
Es necesario fortalecer el seguimiento y monitoreo para evitar la materialización de riesgos que afectan objetivos institucionales.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</si>
</sst>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8" x14ac:knownFonts="1">
    <font>
      <sz val="11"/>
      <color theme="1"/>
      <name val="Calibri"/>
      <family val="2"/>
      <scheme val="minor"/>
    </font>
    <font>
      <sz val="11"/>
      <name val="Arial"/>
      <family val="2"/>
    </font>
    <font>
      <b/>
      <sz val="12"/>
      <name val="Arial"/>
      <family val="2"/>
    </font>
    <font>
      <sz val="11"/>
      <color theme="1"/>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0"/>
      <color theme="0"/>
      <name val="Arial"/>
      <family val="2"/>
    </font>
    <font>
      <sz val="20"/>
      <color theme="1"/>
      <name val="Calibri"/>
      <family val="2"/>
      <scheme val="minor"/>
    </font>
    <font>
      <sz val="25"/>
      <color theme="1"/>
      <name val="Calibri"/>
      <family val="2"/>
      <scheme val="minor"/>
    </font>
    <font>
      <sz val="16"/>
      <color theme="1"/>
      <name val="Arial"/>
      <family val="2"/>
    </font>
    <font>
      <b/>
      <u/>
      <sz val="12"/>
      <color theme="0"/>
      <name val="Arial"/>
      <family val="2"/>
    </font>
    <font>
      <sz val="14"/>
      <name val="Arial"/>
      <family val="2"/>
    </font>
    <font>
      <sz val="14"/>
      <color theme="1"/>
      <name val="Arial"/>
      <family val="2"/>
    </font>
    <font>
      <b/>
      <sz val="12"/>
      <color theme="1"/>
      <name val="Century Gothic"/>
      <family val="2"/>
    </font>
    <font>
      <b/>
      <sz val="12"/>
      <color theme="1"/>
      <name val="Calibri"/>
      <family val="2"/>
      <scheme val="minor"/>
    </font>
  </fonts>
  <fills count="19">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
      <patternFill patternType="solid">
        <fgColor theme="6" tint="-0.499984740745262"/>
        <bgColor indexed="64"/>
      </patternFill>
    </fill>
    <fill>
      <patternFill patternType="solid">
        <fgColor theme="0" tint="-0.14999847407452621"/>
        <bgColor indexed="64"/>
      </patternFill>
    </fill>
  </fills>
  <borders count="96">
    <border>
      <left/>
      <right/>
      <top/>
      <bottom/>
      <diagonal/>
    </border>
    <border>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rgb="FF81829A"/>
      </left>
      <right/>
      <top style="thin">
        <color rgb="FF81829A"/>
      </top>
      <bottom style="thin">
        <color auto="1"/>
      </bottom>
      <diagonal/>
    </border>
    <border>
      <left/>
      <right/>
      <top style="thin">
        <color rgb="FF81829A"/>
      </top>
      <bottom style="thin">
        <color auto="1"/>
      </bottom>
      <diagonal/>
    </border>
    <border>
      <left/>
      <right style="thin">
        <color rgb="FF81829A"/>
      </right>
      <top style="thin">
        <color rgb="FF81829A"/>
      </top>
      <bottom style="thin">
        <color auto="1"/>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style="hair">
        <color auto="1"/>
      </right>
      <top style="medium">
        <color auto="1"/>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style="hair">
        <color auto="1"/>
      </left>
      <right style="hair">
        <color auto="1"/>
      </right>
      <top style="medium">
        <color auto="1"/>
      </top>
      <bottom/>
      <diagonal/>
    </border>
    <border>
      <left style="hair">
        <color auto="1"/>
      </left>
      <right style="medium">
        <color auto="1"/>
      </right>
      <top style="medium">
        <color auto="1"/>
      </top>
      <bottom style="hair">
        <color auto="1"/>
      </bottom>
      <diagonal/>
    </border>
    <border>
      <left style="hair">
        <color auto="1"/>
      </left>
      <right style="hair">
        <color auto="1"/>
      </right>
      <top/>
      <bottom/>
      <diagonal/>
    </border>
    <border>
      <left style="hair">
        <color auto="1"/>
      </left>
      <right style="medium">
        <color auto="1"/>
      </right>
      <top style="hair">
        <color auto="1"/>
      </top>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right/>
      <top style="medium">
        <color auto="1"/>
      </top>
      <bottom style="thin">
        <color auto="1"/>
      </bottom>
      <diagonal/>
    </border>
    <border>
      <left style="dashed">
        <color auto="1"/>
      </left>
      <right/>
      <top style="dashed">
        <color auto="1"/>
      </top>
      <bottom style="dashed">
        <color auto="1"/>
      </bottom>
      <diagonal/>
    </border>
    <border>
      <left/>
      <right style="medium">
        <color auto="1"/>
      </right>
      <top style="dashed">
        <color auto="1"/>
      </top>
      <bottom style="dashed">
        <color auto="1"/>
      </bottom>
      <diagonal/>
    </border>
    <border>
      <left style="medium">
        <color auto="1"/>
      </left>
      <right/>
      <top style="medium">
        <color auto="1"/>
      </top>
      <bottom style="thin">
        <color auto="1"/>
      </bottom>
      <diagonal/>
    </border>
    <border>
      <left style="medium">
        <color auto="1"/>
      </left>
      <right/>
      <top/>
      <bottom/>
      <diagonal/>
    </border>
    <border>
      <left/>
      <right style="medium">
        <color auto="1"/>
      </right>
      <top/>
      <bottom/>
      <diagonal/>
    </border>
    <border>
      <left style="double">
        <color auto="1"/>
      </left>
      <right/>
      <top style="double">
        <color auto="1"/>
      </top>
      <bottom/>
      <diagonal/>
    </border>
    <border>
      <left/>
      <right style="thin">
        <color theme="0"/>
      </right>
      <top style="double">
        <color auto="1"/>
      </top>
      <bottom/>
      <diagonal/>
    </border>
    <border>
      <left style="thin">
        <color theme="0"/>
      </left>
      <right/>
      <top style="double">
        <color auto="1"/>
      </top>
      <bottom style="thin">
        <color auto="1"/>
      </bottom>
      <diagonal/>
    </border>
    <border>
      <left/>
      <right style="double">
        <color auto="1"/>
      </right>
      <top style="double">
        <color auto="1"/>
      </top>
      <bottom style="thin">
        <color auto="1"/>
      </bottom>
      <diagonal/>
    </border>
    <border>
      <left style="hair">
        <color auto="1"/>
      </left>
      <right/>
      <top style="thin">
        <color auto="1"/>
      </top>
      <bottom style="hair">
        <color auto="1"/>
      </bottom>
      <diagonal/>
    </border>
    <border>
      <left/>
      <right style="double">
        <color auto="1"/>
      </right>
      <top style="thin">
        <color auto="1"/>
      </top>
      <bottom style="hair">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double">
        <color auto="1"/>
      </right>
      <top style="hair">
        <color auto="1"/>
      </top>
      <bottom style="hair">
        <color auto="1"/>
      </bottom>
      <diagonal/>
    </border>
    <border>
      <left/>
      <right/>
      <top style="dashed">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auto="1"/>
      </left>
      <right/>
      <top style="thin">
        <color auto="1"/>
      </top>
      <bottom style="hair">
        <color auto="1"/>
      </bottom>
      <diagonal/>
    </border>
    <border>
      <left/>
      <right style="hair">
        <color auto="1"/>
      </right>
      <top style="thin">
        <color auto="1"/>
      </top>
      <bottom style="hair">
        <color auto="1"/>
      </bottom>
      <diagonal/>
    </border>
    <border>
      <left style="double">
        <color auto="1"/>
      </left>
      <right/>
      <top style="hair">
        <color auto="1"/>
      </top>
      <bottom style="hair">
        <color auto="1"/>
      </bottom>
      <diagonal/>
    </border>
    <border>
      <left/>
      <right style="hair">
        <color auto="1"/>
      </right>
      <top style="hair">
        <color auto="1"/>
      </top>
      <bottom style="hair">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bottom/>
      <diagonal/>
    </border>
    <border>
      <left style="hair">
        <color auto="1"/>
      </left>
      <right style="hair">
        <color auto="1"/>
      </right>
      <top style="hair">
        <color auto="1"/>
      </top>
      <bottom/>
      <diagonal/>
    </border>
    <border>
      <left style="medium">
        <color auto="1"/>
      </left>
      <right style="hair">
        <color auto="1"/>
      </right>
      <top style="hair">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9" fontId="3" fillId="0" borderId="0" applyFont="0" applyFill="0" applyBorder="0" applyAlignment="0" applyProtection="0"/>
    <xf numFmtId="0" fontId="19" fillId="0" borderId="0"/>
    <xf numFmtId="0" fontId="27" fillId="0" borderId="0"/>
    <xf numFmtId="0" fontId="31" fillId="0" borderId="0"/>
  </cellStyleXfs>
  <cellXfs count="338">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6" fillId="4" borderId="0" xfId="0" applyFont="1" applyFill="1" applyAlignment="1">
      <alignment horizontal="center"/>
    </xf>
    <xf numFmtId="0" fontId="0" fillId="4" borderId="21" xfId="0" applyFill="1" applyBorder="1"/>
    <xf numFmtId="164" fontId="6" fillId="4" borderId="0" xfId="0" applyNumberFormat="1" applyFont="1" applyFill="1" applyAlignment="1">
      <alignment horizontal="center"/>
    </xf>
    <xf numFmtId="0" fontId="7" fillId="4" borderId="0" xfId="0" applyFont="1" applyFill="1" applyAlignment="1">
      <alignment vertical="center"/>
    </xf>
    <xf numFmtId="0" fontId="9" fillId="4" borderId="0" xfId="0" applyFont="1" applyFill="1" applyAlignment="1">
      <alignment horizontal="center" vertical="center"/>
    </xf>
    <xf numFmtId="0" fontId="10" fillId="4" borderId="0" xfId="0" applyFont="1" applyFill="1"/>
    <xf numFmtId="0" fontId="8" fillId="4" borderId="0" xfId="0" applyFont="1" applyFill="1" applyAlignment="1">
      <alignment horizontal="center" vertical="center"/>
    </xf>
    <xf numFmtId="0" fontId="2" fillId="4" borderId="30" xfId="0" applyFont="1" applyFill="1" applyBorder="1" applyAlignment="1">
      <alignment horizontal="center" vertical="center"/>
    </xf>
    <xf numFmtId="0" fontId="2" fillId="4" borderId="0" xfId="0" applyFont="1" applyFill="1" applyAlignment="1">
      <alignment horizontal="center" vertical="center"/>
    </xf>
    <xf numFmtId="0" fontId="11" fillId="4" borderId="0" xfId="0" applyFont="1" applyFill="1" applyAlignment="1">
      <alignment wrapText="1"/>
    </xf>
    <xf numFmtId="0" fontId="12" fillId="4" borderId="0" xfId="0" applyFont="1" applyFill="1" applyAlignment="1">
      <alignment wrapText="1"/>
    </xf>
    <xf numFmtId="0" fontId="4" fillId="0" borderId="0" xfId="0" applyFont="1" applyAlignment="1">
      <alignment vertical="center"/>
    </xf>
    <xf numFmtId="9" fontId="2" fillId="0" borderId="0" xfId="0" applyNumberFormat="1" applyFont="1" applyAlignment="1">
      <alignment vertical="center"/>
    </xf>
    <xf numFmtId="0" fontId="2" fillId="4" borderId="21" xfId="0" applyFont="1" applyFill="1" applyBorder="1" applyAlignment="1">
      <alignment vertical="center"/>
    </xf>
    <xf numFmtId="0" fontId="2" fillId="4" borderId="0" xfId="0" applyFont="1" applyFill="1" applyAlignment="1">
      <alignment vertical="center"/>
    </xf>
    <xf numFmtId="0" fontId="0" fillId="0" borderId="3" xfId="0" applyBorder="1"/>
    <xf numFmtId="0" fontId="4" fillId="4" borderId="0" xfId="0" applyFont="1" applyFill="1" applyAlignment="1">
      <alignment vertical="center"/>
    </xf>
    <xf numFmtId="0" fontId="2" fillId="4" borderId="0" xfId="0" applyFont="1" applyFill="1" applyAlignment="1">
      <alignment horizontal="left" vertical="center"/>
    </xf>
    <xf numFmtId="0" fontId="14" fillId="4" borderId="0" xfId="0" applyFont="1" applyFill="1" applyAlignment="1">
      <alignment vertical="center"/>
    </xf>
    <xf numFmtId="0" fontId="15" fillId="4" borderId="0" xfId="0" applyFont="1" applyFill="1"/>
    <xf numFmtId="0" fontId="0" fillId="4" borderId="34" xfId="0" applyFill="1" applyBorder="1"/>
    <xf numFmtId="0" fontId="0" fillId="4" borderId="35" xfId="0" applyFill="1" applyBorder="1"/>
    <xf numFmtId="0" fontId="0" fillId="4" borderId="36" xfId="0" applyFill="1" applyBorder="1"/>
    <xf numFmtId="0" fontId="20" fillId="0" borderId="0" xfId="2" applyFont="1" applyAlignment="1" applyProtection="1">
      <alignment vertical="center"/>
      <protection locked="0"/>
    </xf>
    <xf numFmtId="49" fontId="22" fillId="4" borderId="0" xfId="2" applyNumberFormat="1" applyFont="1" applyFill="1" applyAlignment="1" applyProtection="1">
      <alignment vertical="center"/>
      <protection locked="0"/>
    </xf>
    <xf numFmtId="0" fontId="22" fillId="4" borderId="0" xfId="2" applyFont="1" applyFill="1" applyAlignment="1" applyProtection="1">
      <alignment vertical="center"/>
      <protection locked="0"/>
    </xf>
    <xf numFmtId="9" fontId="24" fillId="4" borderId="0" xfId="2" applyNumberFormat="1" applyFont="1" applyFill="1" applyAlignment="1" applyProtection="1">
      <alignment vertical="center"/>
      <protection locked="0"/>
    </xf>
    <xf numFmtId="9" fontId="20" fillId="4" borderId="0" xfId="1" applyFont="1" applyFill="1" applyAlignment="1" applyProtection="1">
      <alignment vertical="center"/>
      <protection locked="0"/>
    </xf>
    <xf numFmtId="9" fontId="20"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0" fontId="24" fillId="0" borderId="0" xfId="3" applyFont="1"/>
    <xf numFmtId="0" fontId="6" fillId="4" borderId="0" xfId="0" applyFont="1" applyFill="1"/>
    <xf numFmtId="0" fontId="6" fillId="0" borderId="0" xfId="0" applyFont="1"/>
    <xf numFmtId="0" fontId="34" fillId="0" borderId="0" xfId="0" applyFont="1" applyAlignment="1">
      <alignment vertical="top"/>
    </xf>
    <xf numFmtId="49" fontId="34" fillId="0" borderId="0" xfId="0" applyNumberFormat="1" applyFont="1" applyAlignment="1">
      <alignment horizontal="center" vertical="top"/>
    </xf>
    <xf numFmtId="0" fontId="20" fillId="4" borderId="0" xfId="2" applyFont="1" applyFill="1" applyAlignment="1" applyProtection="1">
      <alignment vertical="center"/>
      <protection locked="0"/>
    </xf>
    <xf numFmtId="0" fontId="24" fillId="4" borderId="0" xfId="3" applyFont="1" applyFill="1"/>
    <xf numFmtId="0" fontId="24" fillId="4" borderId="59" xfId="3" applyFont="1" applyFill="1" applyBorder="1" applyAlignment="1">
      <alignment vertical="top" wrapText="1"/>
    </xf>
    <xf numFmtId="0" fontId="24" fillId="4" borderId="0" xfId="3" applyFont="1" applyFill="1" applyAlignment="1">
      <alignment vertical="top" wrapText="1"/>
    </xf>
    <xf numFmtId="0" fontId="24" fillId="4" borderId="60" xfId="3" applyFont="1" applyFill="1" applyBorder="1" applyAlignment="1">
      <alignment vertical="top" wrapText="1"/>
    </xf>
    <xf numFmtId="0" fontId="24" fillId="4" borderId="59" xfId="3" applyFont="1" applyFill="1" applyBorder="1" applyAlignment="1">
      <alignment horizontal="left" vertical="top"/>
    </xf>
    <xf numFmtId="0" fontId="24" fillId="4" borderId="60" xfId="3" applyFont="1" applyFill="1" applyBorder="1" applyAlignment="1">
      <alignment horizontal="left" vertical="top"/>
    </xf>
    <xf numFmtId="0" fontId="24" fillId="4" borderId="59" xfId="3" applyFont="1" applyFill="1" applyBorder="1"/>
    <xf numFmtId="0" fontId="32" fillId="4" borderId="0" xfId="4" applyFont="1" applyFill="1" applyAlignment="1">
      <alignment horizontal="left" vertical="top" wrapText="1" readingOrder="1"/>
    </xf>
    <xf numFmtId="0" fontId="24" fillId="4" borderId="60" xfId="3" applyFont="1" applyFill="1" applyBorder="1"/>
    <xf numFmtId="0" fontId="24" fillId="4" borderId="72" xfId="3" applyFont="1" applyFill="1" applyBorder="1"/>
    <xf numFmtId="0" fontId="24" fillId="4" borderId="73" xfId="3" applyFont="1" applyFill="1" applyBorder="1"/>
    <xf numFmtId="0" fontId="24" fillId="4" borderId="74" xfId="3" applyFont="1" applyFill="1" applyBorder="1"/>
    <xf numFmtId="0" fontId="32" fillId="4" borderId="0" xfId="0" applyFont="1" applyFill="1" applyAlignment="1">
      <alignment horizontal="left" vertical="center" wrapText="1"/>
    </xf>
    <xf numFmtId="0" fontId="33" fillId="4" borderId="0" xfId="0" applyFont="1" applyFill="1" applyAlignment="1">
      <alignment horizontal="left" vertical="top" wrapText="1"/>
    </xf>
    <xf numFmtId="0" fontId="24" fillId="4" borderId="0" xfId="3" quotePrefix="1" applyFont="1" applyFill="1" applyAlignment="1">
      <alignment horizontal="left" vertical="center" wrapText="1"/>
    </xf>
    <xf numFmtId="0" fontId="30" fillId="4" borderId="0" xfId="3" applyFont="1" applyFill="1" applyAlignment="1">
      <alignment horizontal="left" vertical="center" wrapText="1"/>
    </xf>
    <xf numFmtId="0" fontId="24" fillId="4" borderId="0" xfId="3" applyFont="1" applyFill="1" applyAlignment="1">
      <alignment horizontal="left" vertical="center" wrapText="1"/>
    </xf>
    <xf numFmtId="0" fontId="6" fillId="4" borderId="0" xfId="0" applyFont="1" applyFill="1" applyAlignment="1">
      <alignment vertical="center"/>
    </xf>
    <xf numFmtId="0" fontId="6" fillId="0" borderId="0" xfId="0" applyFont="1" applyAlignment="1">
      <alignment vertical="center"/>
    </xf>
    <xf numFmtId="0" fontId="7" fillId="4" borderId="0" xfId="0" applyFont="1" applyFill="1"/>
    <xf numFmtId="0" fontId="7" fillId="0" borderId="0" xfId="0" applyFont="1" applyAlignment="1">
      <alignment vertical="top"/>
    </xf>
    <xf numFmtId="0" fontId="7" fillId="0" borderId="0" xfId="0" applyFont="1"/>
    <xf numFmtId="0" fontId="42" fillId="9" borderId="11" xfId="0" applyFont="1" applyFill="1" applyBorder="1" applyAlignment="1">
      <alignment horizontal="center" vertical="top" wrapText="1"/>
    </xf>
    <xf numFmtId="49" fontId="43" fillId="5" borderId="7" xfId="0" applyNumberFormat="1" applyFont="1" applyFill="1" applyBorder="1" applyAlignment="1">
      <alignment horizontal="center" vertical="center" wrapText="1"/>
    </xf>
    <xf numFmtId="0" fontId="43" fillId="5" borderId="7" xfId="0" applyFont="1" applyFill="1" applyBorder="1" applyAlignment="1">
      <alignment horizontal="center" vertical="center" wrapText="1"/>
    </xf>
    <xf numFmtId="0" fontId="43" fillId="5" borderId="10" xfId="0" applyFont="1" applyFill="1" applyBorder="1" applyAlignment="1">
      <alignment horizontal="center" vertical="center" wrapText="1"/>
    </xf>
    <xf numFmtId="0" fontId="43" fillId="5" borderId="5" xfId="0" applyFont="1" applyFill="1" applyBorder="1" applyAlignment="1">
      <alignment horizontal="center" vertical="center" wrapText="1"/>
    </xf>
    <xf numFmtId="0" fontId="44" fillId="0" borderId="2" xfId="0" applyFont="1" applyBorder="1" applyAlignment="1">
      <alignment horizontal="center" vertical="center" wrapText="1"/>
    </xf>
    <xf numFmtId="0" fontId="44" fillId="0" borderId="2" xfId="0" applyFont="1" applyBorder="1" applyAlignment="1">
      <alignment horizontal="left" vertical="center" wrapText="1"/>
    </xf>
    <xf numFmtId="0" fontId="44" fillId="0" borderId="3" xfId="0" applyFont="1" applyBorder="1" applyAlignment="1">
      <alignment horizontal="center" vertical="center" wrapText="1"/>
    </xf>
    <xf numFmtId="0" fontId="45" fillId="0" borderId="3" xfId="0" applyFont="1" applyBorder="1" applyAlignment="1">
      <alignment horizontal="left" vertical="center" wrapText="1"/>
    </xf>
    <xf numFmtId="0" fontId="44" fillId="0" borderId="3" xfId="0" applyFont="1" applyBorder="1" applyAlignment="1">
      <alignment horizontal="left" vertical="center" wrapText="1"/>
    </xf>
    <xf numFmtId="0" fontId="44" fillId="0" borderId="4" xfId="0" applyFont="1" applyBorder="1" applyAlignment="1">
      <alignment horizontal="center" vertical="center" wrapText="1"/>
    </xf>
    <xf numFmtId="0" fontId="44" fillId="0" borderId="4" xfId="0" applyFont="1" applyBorder="1" applyAlignment="1">
      <alignment horizontal="left" vertical="center" wrapText="1"/>
    </xf>
    <xf numFmtId="0" fontId="8" fillId="13" borderId="3" xfId="0" applyFont="1" applyFill="1" applyBorder="1" applyAlignment="1">
      <alignment horizontal="center" vertical="center" wrapText="1"/>
    </xf>
    <xf numFmtId="0" fontId="48" fillId="0" borderId="0" xfId="0" applyFont="1" applyAlignment="1">
      <alignment horizontal="center" wrapText="1"/>
    </xf>
    <xf numFmtId="0" fontId="8" fillId="15"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50" fillId="0" borderId="0" xfId="0" applyFont="1" applyAlignment="1">
      <alignment horizontal="center"/>
    </xf>
    <xf numFmtId="0" fontId="23" fillId="4" borderId="0" xfId="2" applyFont="1" applyFill="1" applyAlignment="1">
      <alignment vertical="center" wrapText="1"/>
    </xf>
    <xf numFmtId="0" fontId="33" fillId="4" borderId="0" xfId="2" applyFont="1" applyFill="1" applyAlignment="1">
      <alignment vertical="center" wrapText="1"/>
    </xf>
    <xf numFmtId="0" fontId="34" fillId="0" borderId="0" xfId="0" applyFont="1" applyAlignment="1" applyProtection="1">
      <alignment horizontal="center" vertical="top"/>
      <protection hidden="1"/>
    </xf>
    <xf numFmtId="0" fontId="36" fillId="0" borderId="79" xfId="0" applyFont="1" applyBorder="1" applyAlignment="1" applyProtection="1">
      <alignment horizontal="center" vertical="center" wrapText="1"/>
      <protection hidden="1"/>
    </xf>
    <xf numFmtId="0" fontId="7" fillId="0" borderId="0" xfId="0" applyFont="1" applyAlignment="1" applyProtection="1">
      <alignment horizontal="center" vertical="top"/>
      <protection hidden="1"/>
    </xf>
    <xf numFmtId="0" fontId="37" fillId="0" borderId="9" xfId="0" applyFont="1" applyBorder="1" applyAlignment="1" applyProtection="1">
      <alignment horizontal="center" vertical="center" wrapText="1"/>
      <protection hidden="1"/>
    </xf>
    <xf numFmtId="49" fontId="7" fillId="0" borderId="0" xfId="0" applyNumberFormat="1" applyFont="1" applyAlignment="1" applyProtection="1">
      <alignment horizontal="center" vertical="top"/>
      <protection hidden="1"/>
    </xf>
    <xf numFmtId="0" fontId="36" fillId="0" borderId="9" xfId="0" applyFont="1" applyBorder="1" applyAlignment="1" applyProtection="1">
      <alignment horizontal="center" vertical="center" wrapText="1"/>
      <protection hidden="1"/>
    </xf>
    <xf numFmtId="0" fontId="36" fillId="0" borderId="80" xfId="0" applyFont="1" applyBorder="1" applyAlignment="1" applyProtection="1">
      <alignment horizontal="center" vertical="center" wrapText="1"/>
      <protection hidden="1"/>
    </xf>
    <xf numFmtId="0" fontId="7" fillId="0" borderId="0" xfId="0" applyFont="1" applyAlignment="1" applyProtection="1">
      <alignment vertical="top"/>
      <protection hidden="1"/>
    </xf>
    <xf numFmtId="0" fontId="41" fillId="0" borderId="2" xfId="0" applyFont="1" applyBorder="1" applyAlignment="1" applyProtection="1">
      <alignment horizontal="center" vertical="center" wrapText="1"/>
      <protection locked="0"/>
    </xf>
    <xf numFmtId="0" fontId="34" fillId="0" borderId="79" xfId="0" applyFont="1" applyBorder="1" applyAlignment="1" applyProtection="1">
      <alignment horizontal="left" vertical="center" wrapText="1"/>
      <protection locked="0"/>
    </xf>
    <xf numFmtId="0" fontId="41" fillId="0" borderId="3" xfId="0" applyFont="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0" fontId="34" fillId="0" borderId="9" xfId="0" applyFont="1" applyBorder="1" applyAlignment="1" applyProtection="1">
      <alignment horizontal="left" vertical="center" wrapText="1"/>
      <protection locked="0"/>
    </xf>
    <xf numFmtId="0" fontId="41" fillId="0" borderId="4" xfId="0" applyFont="1" applyBorder="1" applyAlignment="1" applyProtection="1">
      <alignment horizontal="center" vertical="center" wrapText="1"/>
      <protection locked="0"/>
    </xf>
    <xf numFmtId="0" fontId="34" fillId="0" borderId="80" xfId="0" applyFont="1" applyBorder="1" applyAlignment="1" applyProtection="1">
      <alignment horizontal="left" vertical="center" wrapText="1"/>
      <protection locked="0"/>
    </xf>
    <xf numFmtId="0" fontId="18" fillId="2" borderId="82" xfId="2" applyFont="1" applyFill="1" applyBorder="1" applyAlignment="1">
      <alignment horizontal="center" vertical="center"/>
    </xf>
    <xf numFmtId="0" fontId="18" fillId="2" borderId="82" xfId="2" applyFont="1" applyFill="1" applyBorder="1" applyAlignment="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38" fillId="0" borderId="84" xfId="0" applyFont="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38" fillId="0" borderId="85" xfId="0" applyFont="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38" fillId="0" borderId="86" xfId="0" applyFont="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38" fillId="0" borderId="5" xfId="0" applyFont="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38" fillId="0" borderId="6" xfId="0" applyFont="1" applyBorder="1" applyAlignment="1" applyProtection="1">
      <alignment vertical="center" wrapText="1"/>
      <protection hidden="1"/>
    </xf>
    <xf numFmtId="0" fontId="38" fillId="0" borderId="3" xfId="0" applyFont="1" applyBorder="1" applyAlignment="1" applyProtection="1">
      <alignment vertical="center" wrapText="1"/>
      <protection hidden="1"/>
    </xf>
    <xf numFmtId="0" fontId="38" fillId="0" borderId="7" xfId="0" applyFont="1" applyBorder="1" applyAlignment="1" applyProtection="1">
      <alignment vertical="center" wrapText="1"/>
      <protection hidden="1"/>
    </xf>
    <xf numFmtId="0" fontId="46"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0" fontId="40" fillId="0" borderId="3" xfId="0" applyFont="1" applyBorder="1" applyAlignment="1" applyProtection="1">
      <alignment horizontal="center" vertical="center"/>
      <protection hidden="1"/>
    </xf>
    <xf numFmtId="9" fontId="13" fillId="14" borderId="3" xfId="0" applyNumberFormat="1" applyFont="1" applyFill="1" applyBorder="1" applyAlignment="1" applyProtection="1">
      <alignment horizontal="center" vertical="center"/>
      <protection hidden="1"/>
    </xf>
    <xf numFmtId="49" fontId="51" fillId="4" borderId="2" xfId="0" applyNumberFormat="1" applyFont="1" applyFill="1" applyBorder="1" applyAlignment="1" applyProtection="1">
      <alignment horizontal="center" vertical="center" wrapText="1"/>
      <protection locked="0"/>
    </xf>
    <xf numFmtId="49" fontId="51" fillId="4" borderId="3" xfId="0" applyNumberFormat="1" applyFont="1" applyFill="1" applyBorder="1" applyAlignment="1" applyProtection="1">
      <alignment horizontal="center" vertical="center" wrapText="1"/>
      <protection locked="0"/>
    </xf>
    <xf numFmtId="49" fontId="51" fillId="4" borderId="4" xfId="0" applyNumberFormat="1" applyFont="1" applyFill="1" applyBorder="1" applyAlignment="1" applyProtection="1">
      <alignment horizontal="center" vertical="center" wrapText="1"/>
      <protection locked="0"/>
    </xf>
    <xf numFmtId="49" fontId="17" fillId="5" borderId="7" xfId="0" applyNumberFormat="1" applyFont="1" applyFill="1" applyBorder="1" applyAlignment="1" applyProtection="1">
      <alignment horizontal="center" vertical="center" wrapText="1"/>
      <protection hidden="1"/>
    </xf>
    <xf numFmtId="0" fontId="17" fillId="5" borderId="7" xfId="0" applyFont="1" applyFill="1" applyBorder="1" applyAlignment="1" applyProtection="1">
      <alignment horizontal="center" vertical="center" wrapText="1"/>
      <protection hidden="1"/>
    </xf>
    <xf numFmtId="0" fontId="17" fillId="5" borderId="10" xfId="0" applyFont="1" applyFill="1" applyBorder="1" applyAlignment="1" applyProtection="1">
      <alignment horizontal="center" vertical="center" wrapText="1"/>
      <protection hidden="1"/>
    </xf>
    <xf numFmtId="0" fontId="17"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42" fillId="9" borderId="14" xfId="0" applyNumberFormat="1" applyFont="1" applyFill="1" applyBorder="1" applyAlignment="1">
      <alignment horizontal="center" vertical="center" wrapText="1"/>
    </xf>
    <xf numFmtId="49" fontId="42" fillId="9" borderId="11" xfId="0" applyNumberFormat="1" applyFont="1" applyFill="1" applyBorder="1" applyAlignment="1">
      <alignment horizontal="center" vertical="center" wrapText="1"/>
    </xf>
    <xf numFmtId="0" fontId="5" fillId="2" borderId="3" xfId="0" applyFont="1" applyFill="1" applyBorder="1" applyAlignment="1">
      <alignment horizontal="center" vertical="center"/>
    </xf>
    <xf numFmtId="9" fontId="49" fillId="2" borderId="26" xfId="0" applyNumberFormat="1" applyFont="1" applyFill="1" applyBorder="1" applyAlignment="1" applyProtection="1">
      <alignment horizontal="center" vertical="center"/>
      <protection hidden="1"/>
    </xf>
    <xf numFmtId="49" fontId="0" fillId="4" borderId="0" xfId="0" applyNumberFormat="1" applyFill="1" applyAlignment="1">
      <alignment horizontal="left" vertical="top" wrapText="1"/>
    </xf>
    <xf numFmtId="0" fontId="8" fillId="12" borderId="31" xfId="0" applyFont="1" applyFill="1" applyBorder="1" applyAlignment="1">
      <alignment horizontal="center" vertical="center" wrapText="1"/>
    </xf>
    <xf numFmtId="0" fontId="2" fillId="0" borderId="0" xfId="0" applyFont="1" applyAlignment="1">
      <alignment horizontal="center" vertical="center" wrapText="1"/>
    </xf>
    <xf numFmtId="0" fontId="4" fillId="12" borderId="31" xfId="0" applyFont="1" applyFill="1" applyBorder="1" applyAlignment="1">
      <alignment horizontal="center" vertical="center" wrapText="1"/>
    </xf>
    <xf numFmtId="0" fontId="4" fillId="12" borderId="26" xfId="0" applyFont="1" applyFill="1" applyBorder="1" applyAlignment="1">
      <alignment horizontal="center" vertical="center" wrapText="1"/>
    </xf>
    <xf numFmtId="0" fontId="10" fillId="4" borderId="0" xfId="0" applyFont="1" applyFill="1" applyAlignment="1">
      <alignment horizontal="center" vertical="center" wrapText="1"/>
    </xf>
    <xf numFmtId="0" fontId="4" fillId="2" borderId="32"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0" xfId="0" applyFont="1" applyFill="1" applyAlignment="1">
      <alignment horizontal="center" vertical="center" wrapText="1"/>
    </xf>
    <xf numFmtId="0" fontId="0" fillId="0" borderId="33" xfId="0" applyBorder="1"/>
    <xf numFmtId="0" fontId="54" fillId="0" borderId="94" xfId="0" applyFont="1" applyBorder="1" applyAlignment="1" applyProtection="1">
      <alignment vertical="center" wrapText="1"/>
      <protection locked="0"/>
    </xf>
    <xf numFmtId="0" fontId="2" fillId="0" borderId="0" xfId="0" applyFont="1" applyAlignment="1">
      <alignment vertical="center"/>
    </xf>
    <xf numFmtId="9" fontId="13" fillId="14" borderId="3" xfId="0" applyNumberFormat="1" applyFont="1" applyFill="1" applyBorder="1" applyAlignment="1" applyProtection="1">
      <alignment horizontal="center" vertical="center"/>
      <protection locked="0"/>
    </xf>
    <xf numFmtId="0" fontId="2" fillId="0" borderId="9" xfId="0" applyFont="1" applyBorder="1" applyAlignment="1">
      <alignment vertical="center"/>
    </xf>
    <xf numFmtId="0" fontId="2" fillId="0" borderId="0" xfId="0" applyFont="1" applyAlignment="1">
      <alignment horizontal="left" vertical="center"/>
    </xf>
    <xf numFmtId="9" fontId="2" fillId="0" borderId="3" xfId="0" applyNumberFormat="1" applyFont="1" applyBorder="1" applyAlignment="1" applyProtection="1">
      <alignment horizontal="center" vertical="center"/>
      <protection locked="0"/>
    </xf>
    <xf numFmtId="0" fontId="0" fillId="0" borderId="94" xfId="0" applyBorder="1"/>
    <xf numFmtId="0" fontId="0" fillId="0" borderId="0" xfId="0" applyAlignment="1">
      <alignment horizontal="left"/>
    </xf>
    <xf numFmtId="0" fontId="0" fillId="0" borderId="3" xfId="0" applyBorder="1" applyAlignment="1">
      <alignment horizontal="left"/>
    </xf>
    <xf numFmtId="0" fontId="55" fillId="0" borderId="94" xfId="0" applyFont="1" applyBorder="1" applyAlignment="1" applyProtection="1">
      <alignment vertical="top" wrapText="1"/>
      <protection locked="0"/>
    </xf>
    <xf numFmtId="0" fontId="0" fillId="0" borderId="9" xfId="0" applyBorder="1"/>
    <xf numFmtId="0" fontId="55" fillId="0" borderId="94" xfId="0" applyFont="1" applyBorder="1" applyAlignment="1" applyProtection="1">
      <alignment wrapText="1"/>
      <protection locked="0"/>
    </xf>
    <xf numFmtId="0" fontId="8" fillId="17" borderId="3" xfId="0" applyFont="1" applyFill="1" applyBorder="1" applyAlignment="1">
      <alignment horizontal="center" vertical="center" wrapText="1"/>
    </xf>
    <xf numFmtId="0" fontId="55" fillId="0" borderId="95" xfId="0" applyFont="1" applyBorder="1" applyAlignment="1" applyProtection="1">
      <alignment wrapText="1"/>
      <protection locked="0"/>
    </xf>
    <xf numFmtId="0" fontId="0" fillId="4" borderId="0" xfId="0" applyFill="1" applyAlignment="1">
      <alignment vertical="center"/>
    </xf>
    <xf numFmtId="0" fontId="24" fillId="4" borderId="59" xfId="3" applyFont="1" applyFill="1" applyBorder="1" applyAlignment="1">
      <alignment horizontal="left" vertical="top" wrapText="1"/>
    </xf>
    <xf numFmtId="0" fontId="24" fillId="4" borderId="0" xfId="3" applyFont="1" applyFill="1" applyAlignment="1">
      <alignment horizontal="left" vertical="top" wrapText="1"/>
    </xf>
    <xf numFmtId="0" fontId="24" fillId="4" borderId="60" xfId="3" applyFont="1" applyFill="1" applyBorder="1" applyAlignment="1">
      <alignment horizontal="left" vertical="top" wrapText="1"/>
    </xf>
    <xf numFmtId="0" fontId="24" fillId="4" borderId="0" xfId="3" applyFont="1" applyFill="1"/>
    <xf numFmtId="0" fontId="32" fillId="4" borderId="77" xfId="0" applyFont="1" applyFill="1" applyBorder="1" applyAlignment="1">
      <alignment horizontal="left" vertical="center" wrapText="1"/>
    </xf>
    <xf numFmtId="0" fontId="32" fillId="4" borderId="78" xfId="0" applyFont="1" applyFill="1" applyBorder="1" applyAlignment="1">
      <alignment horizontal="left" vertical="center" wrapText="1"/>
    </xf>
    <xf numFmtId="0" fontId="33" fillId="0" borderId="69" xfId="3" applyFont="1" applyBorder="1" applyAlignment="1">
      <alignment horizontal="left" vertical="center" wrapText="1"/>
    </xf>
    <xf numFmtId="0" fontId="33" fillId="0" borderId="70" xfId="3" applyFont="1" applyBorder="1" applyAlignment="1">
      <alignment horizontal="left" vertical="center" wrapText="1"/>
    </xf>
    <xf numFmtId="0" fontId="16" fillId="2" borderId="44" xfId="2" applyFont="1" applyFill="1" applyBorder="1" applyAlignment="1">
      <alignment horizontal="center" vertical="center" wrapText="1"/>
    </xf>
    <xf numFmtId="0" fontId="16" fillId="2" borderId="45" xfId="2" applyFont="1" applyFill="1" applyBorder="1" applyAlignment="1">
      <alignment horizontal="center" vertical="center" wrapText="1"/>
    </xf>
    <xf numFmtId="0" fontId="23" fillId="7" borderId="50" xfId="2" applyFont="1" applyFill="1" applyBorder="1" applyAlignment="1">
      <alignment horizontal="center" vertical="center"/>
    </xf>
    <xf numFmtId="0" fontId="23" fillId="7" borderId="51" xfId="2" applyFont="1" applyFill="1" applyBorder="1" applyAlignment="1">
      <alignment horizontal="center" vertical="center"/>
    </xf>
    <xf numFmtId="0" fontId="24" fillId="0" borderId="56" xfId="2" applyFont="1" applyBorder="1" applyAlignment="1">
      <alignment horizontal="justify" vertical="center" wrapText="1"/>
    </xf>
    <xf numFmtId="0" fontId="24" fillId="0" borderId="57" xfId="2" applyFont="1" applyBorder="1" applyAlignment="1">
      <alignment horizontal="justify" vertical="center" wrapText="1"/>
    </xf>
    <xf numFmtId="0" fontId="23" fillId="8" borderId="52" xfId="2" applyFont="1" applyFill="1" applyBorder="1" applyAlignment="1">
      <alignment horizontal="center" vertical="center" wrapText="1"/>
    </xf>
    <xf numFmtId="0" fontId="23" fillId="8" borderId="53" xfId="2" applyFont="1" applyFill="1" applyBorder="1" applyAlignment="1">
      <alignment horizontal="center" vertical="center"/>
    </xf>
    <xf numFmtId="0" fontId="24" fillId="0" borderId="53" xfId="2" applyFont="1" applyBorder="1" applyAlignment="1">
      <alignment horizontal="justify" vertical="center" wrapText="1"/>
    </xf>
    <xf numFmtId="0" fontId="24" fillId="0" borderId="54" xfId="2" applyFont="1" applyBorder="1" applyAlignment="1">
      <alignment horizontal="justify" vertical="center" wrapText="1"/>
    </xf>
    <xf numFmtId="0" fontId="35" fillId="4" borderId="71" xfId="2" applyFont="1" applyFill="1" applyBorder="1" applyAlignment="1">
      <alignment horizontal="center" vertical="center" wrapText="1"/>
    </xf>
    <xf numFmtId="0" fontId="22" fillId="4" borderId="71" xfId="2" applyFont="1" applyFill="1" applyBorder="1" applyAlignment="1">
      <alignment horizontal="center" vertical="center" wrapText="1"/>
    </xf>
    <xf numFmtId="0" fontId="16" fillId="2" borderId="46" xfId="2" applyFont="1" applyFill="1" applyBorder="1" applyAlignment="1">
      <alignment horizontal="center" vertical="center" wrapText="1"/>
    </xf>
    <xf numFmtId="0" fontId="23" fillId="14" borderId="47" xfId="2" applyFont="1" applyFill="1" applyBorder="1" applyAlignment="1">
      <alignment horizontal="center" vertical="center"/>
    </xf>
    <xf numFmtId="0" fontId="23" fillId="14" borderId="48" xfId="2" applyFont="1" applyFill="1" applyBorder="1" applyAlignment="1">
      <alignment horizontal="center" vertical="center"/>
    </xf>
    <xf numFmtId="0" fontId="24" fillId="0" borderId="48" xfId="2" applyFont="1" applyBorder="1" applyAlignment="1">
      <alignment horizontal="justify" vertical="center" wrapText="1"/>
    </xf>
    <xf numFmtId="0" fontId="24" fillId="0" borderId="49" xfId="2" applyFont="1" applyBorder="1" applyAlignment="1">
      <alignment horizontal="justify" vertical="center" wrapText="1"/>
    </xf>
    <xf numFmtId="0" fontId="32" fillId="4" borderId="75" xfId="4" applyFont="1" applyFill="1" applyBorder="1" applyAlignment="1">
      <alignment horizontal="left" vertical="center" wrapText="1" readingOrder="1"/>
    </xf>
    <xf numFmtId="0" fontId="32" fillId="4" borderId="76" xfId="4" applyFont="1" applyFill="1" applyBorder="1" applyAlignment="1">
      <alignment horizontal="left" vertical="center" wrapText="1" readingOrder="1"/>
    </xf>
    <xf numFmtId="0" fontId="33" fillId="0" borderId="65" xfId="3" applyFont="1" applyBorder="1" applyAlignment="1">
      <alignment horizontal="left" vertical="center" wrapText="1"/>
    </xf>
    <xf numFmtId="0" fontId="33" fillId="0" borderId="66" xfId="3" applyFont="1" applyBorder="1" applyAlignment="1">
      <alignment horizontal="left" vertical="center" wrapText="1"/>
    </xf>
    <xf numFmtId="0" fontId="32" fillId="4" borderId="67" xfId="0" applyFont="1" applyFill="1" applyBorder="1" applyAlignment="1">
      <alignment horizontal="left" vertical="center" wrapText="1"/>
    </xf>
    <xf numFmtId="0" fontId="32" fillId="4" borderId="68" xfId="0" applyFont="1" applyFill="1" applyBorder="1" applyAlignment="1">
      <alignment horizontal="left" vertical="center" wrapText="1"/>
    </xf>
    <xf numFmtId="0" fontId="33" fillId="0" borderId="69" xfId="3" applyFont="1" applyBorder="1" applyAlignment="1">
      <alignment horizontal="left" vertical="top" wrapText="1"/>
    </xf>
    <xf numFmtId="0" fontId="33" fillId="0" borderId="70" xfId="3" applyFont="1" applyBorder="1" applyAlignment="1">
      <alignment horizontal="left" vertical="top" wrapText="1"/>
    </xf>
    <xf numFmtId="0" fontId="28" fillId="0" borderId="58" xfId="3" applyFont="1" applyBorder="1" applyAlignment="1">
      <alignment horizontal="center" vertical="center" wrapText="1"/>
    </xf>
    <xf numFmtId="0" fontId="28" fillId="0" borderId="55" xfId="3" applyFont="1" applyBorder="1" applyAlignment="1">
      <alignment horizontal="center" vertical="center" wrapText="1"/>
    </xf>
    <xf numFmtId="0" fontId="28" fillId="0" borderId="8" xfId="3" applyFont="1" applyBorder="1" applyAlignment="1">
      <alignment horizontal="center" vertical="center" wrapText="1"/>
    </xf>
    <xf numFmtId="0" fontId="24" fillId="0" borderId="59" xfId="3" quotePrefix="1" applyFont="1" applyBorder="1" applyAlignment="1">
      <alignment horizontal="left" vertical="center" wrapText="1"/>
    </xf>
    <xf numFmtId="0" fontId="24" fillId="0" borderId="0" xfId="3" quotePrefix="1" applyFont="1" applyAlignment="1">
      <alignment horizontal="left" vertical="center" wrapText="1"/>
    </xf>
    <xf numFmtId="0" fontId="24" fillId="0" borderId="60" xfId="3" quotePrefix="1" applyFont="1" applyBorder="1" applyAlignment="1">
      <alignment horizontal="left" vertical="center" wrapText="1"/>
    </xf>
    <xf numFmtId="0" fontId="29" fillId="4" borderId="59" xfId="3" quotePrefix="1" applyFont="1" applyFill="1" applyBorder="1" applyAlignment="1">
      <alignment horizontal="left" vertical="top" wrapText="1"/>
    </xf>
    <xf numFmtId="0" fontId="23" fillId="4" borderId="0" xfId="3" quotePrefix="1" applyFont="1" applyFill="1" applyAlignment="1">
      <alignment horizontal="left" vertical="top" wrapText="1"/>
    </xf>
    <xf numFmtId="0" fontId="23" fillId="4" borderId="60" xfId="3" quotePrefix="1" applyFont="1" applyFill="1" applyBorder="1" applyAlignment="1">
      <alignment horizontal="left" vertical="top" wrapText="1"/>
    </xf>
    <xf numFmtId="0" fontId="24" fillId="4" borderId="59" xfId="3" quotePrefix="1" applyFont="1" applyFill="1" applyBorder="1" applyAlignment="1">
      <alignment horizontal="left" vertical="top" wrapText="1"/>
    </xf>
    <xf numFmtId="0" fontId="24" fillId="4" borderId="0" xfId="3" quotePrefix="1" applyFont="1" applyFill="1" applyAlignment="1">
      <alignment horizontal="left" vertical="top" wrapText="1"/>
    </xf>
    <xf numFmtId="0" fontId="24" fillId="4" borderId="60" xfId="3" quotePrefix="1" applyFont="1" applyFill="1" applyBorder="1" applyAlignment="1">
      <alignment horizontal="left" vertical="top" wrapText="1"/>
    </xf>
    <xf numFmtId="0" fontId="32" fillId="16" borderId="61" xfId="4" applyFont="1" applyFill="1" applyBorder="1" applyAlignment="1">
      <alignment horizontal="center" vertical="center" wrapText="1"/>
    </xf>
    <xf numFmtId="0" fontId="32" fillId="16" borderId="62" xfId="4" applyFont="1" applyFill="1" applyBorder="1" applyAlignment="1">
      <alignment horizontal="center" vertical="center" wrapText="1"/>
    </xf>
    <xf numFmtId="0" fontId="32" fillId="16" borderId="63" xfId="3" applyFont="1" applyFill="1" applyBorder="1" applyAlignment="1">
      <alignment horizontal="center" vertical="center"/>
    </xf>
    <xf numFmtId="0" fontId="32" fillId="16" borderId="64" xfId="3" applyFont="1" applyFill="1" applyBorder="1" applyAlignment="1">
      <alignment horizontal="center" vertical="center"/>
    </xf>
    <xf numFmtId="49" fontId="43" fillId="5" borderId="0" xfId="0" applyNumberFormat="1" applyFont="1" applyFill="1" applyAlignment="1">
      <alignment horizontal="center" vertical="center"/>
    </xf>
    <xf numFmtId="0" fontId="42" fillId="11" borderId="11" xfId="0" applyFont="1" applyFill="1" applyBorder="1" applyAlignment="1">
      <alignment horizontal="center" vertical="center" wrapText="1"/>
    </xf>
    <xf numFmtId="0" fontId="42" fillId="11" borderId="12" xfId="0" applyFont="1" applyFill="1" applyBorder="1" applyAlignment="1">
      <alignment horizontal="center" vertical="center" wrapText="1"/>
    </xf>
    <xf numFmtId="0" fontId="42" fillId="11" borderId="13" xfId="0" applyFont="1" applyFill="1" applyBorder="1" applyAlignment="1">
      <alignment horizontal="center" vertical="center" wrapText="1"/>
    </xf>
    <xf numFmtId="49" fontId="42" fillId="11" borderId="14" xfId="0" applyNumberFormat="1" applyFont="1" applyFill="1" applyBorder="1" applyAlignment="1">
      <alignment horizontal="center" vertical="center" wrapText="1"/>
    </xf>
    <xf numFmtId="49" fontId="42" fillId="11" borderId="15" xfId="0" applyNumberFormat="1" applyFont="1" applyFill="1" applyBorder="1" applyAlignment="1">
      <alignment horizontal="center" vertical="center" wrapText="1"/>
    </xf>
    <xf numFmtId="49" fontId="42" fillId="11" borderId="16" xfId="0" applyNumberFormat="1" applyFont="1" applyFill="1" applyBorder="1" applyAlignment="1">
      <alignment horizontal="center" vertical="center" wrapText="1"/>
    </xf>
    <xf numFmtId="0" fontId="42" fillId="9" borderId="11" xfId="0" applyFont="1" applyFill="1" applyBorder="1" applyAlignment="1">
      <alignment horizontal="center" vertical="center" wrapText="1"/>
    </xf>
    <xf numFmtId="0" fontId="42" fillId="9" borderId="12" xfId="0" applyFont="1" applyFill="1" applyBorder="1" applyAlignment="1">
      <alignment horizontal="center" vertical="center" wrapText="1"/>
    </xf>
    <xf numFmtId="0" fontId="42" fillId="9" borderId="13" xfId="0" applyFont="1" applyFill="1" applyBorder="1" applyAlignment="1">
      <alignment horizontal="center" vertical="center" wrapText="1"/>
    </xf>
    <xf numFmtId="49" fontId="42" fillId="9" borderId="14" xfId="0" applyNumberFormat="1" applyFont="1" applyFill="1" applyBorder="1" applyAlignment="1">
      <alignment horizontal="center" vertical="center" wrapText="1"/>
    </xf>
    <xf numFmtId="49" fontId="42" fillId="9" borderId="15" xfId="0" applyNumberFormat="1" applyFont="1" applyFill="1" applyBorder="1" applyAlignment="1">
      <alignment horizontal="center" vertical="center" wrapText="1"/>
    </xf>
    <xf numFmtId="49" fontId="42" fillId="9" borderId="16" xfId="0" applyNumberFormat="1" applyFont="1" applyFill="1" applyBorder="1" applyAlignment="1">
      <alignment horizontal="center" vertical="center" wrapText="1"/>
    </xf>
    <xf numFmtId="0" fontId="45" fillId="6" borderId="11" xfId="0" applyFont="1" applyFill="1" applyBorder="1" applyAlignment="1">
      <alignment horizontal="center" vertical="center" wrapText="1"/>
    </xf>
    <xf numFmtId="0" fontId="45" fillId="6" borderId="12" xfId="0" applyFont="1" applyFill="1" applyBorder="1" applyAlignment="1">
      <alignment horizontal="center" vertical="center" wrapText="1"/>
    </xf>
    <xf numFmtId="0" fontId="45" fillId="6" borderId="13" xfId="0" applyFont="1" applyFill="1" applyBorder="1" applyAlignment="1">
      <alignment horizontal="center" vertical="center" wrapText="1"/>
    </xf>
    <xf numFmtId="49" fontId="7" fillId="6" borderId="14" xfId="0" applyNumberFormat="1" applyFont="1" applyFill="1" applyBorder="1" applyAlignment="1">
      <alignment horizontal="center" vertical="center" wrapText="1"/>
    </xf>
    <xf numFmtId="49" fontId="7" fillId="6" borderId="15" xfId="0" applyNumberFormat="1" applyFont="1" applyFill="1" applyBorder="1" applyAlignment="1">
      <alignment horizontal="center" vertical="center" wrapText="1"/>
    </xf>
    <xf numFmtId="49" fontId="7" fillId="6" borderId="16" xfId="0" applyNumberFormat="1" applyFont="1" applyFill="1" applyBorder="1" applyAlignment="1">
      <alignment horizontal="center" vertical="center" wrapText="1"/>
    </xf>
    <xf numFmtId="49" fontId="7" fillId="10" borderId="14" xfId="0" applyNumberFormat="1" applyFont="1" applyFill="1" applyBorder="1" applyAlignment="1">
      <alignment horizontal="center" vertical="center" wrapText="1"/>
    </xf>
    <xf numFmtId="49" fontId="7" fillId="10" borderId="15"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0" fontId="42" fillId="10" borderId="11" xfId="0" applyFont="1" applyFill="1" applyBorder="1" applyAlignment="1">
      <alignment horizontal="center" vertical="center" wrapText="1"/>
    </xf>
    <xf numFmtId="0" fontId="42" fillId="10" borderId="12" xfId="0" applyFont="1" applyFill="1" applyBorder="1" applyAlignment="1">
      <alignment horizontal="center" vertical="center" wrapText="1"/>
    </xf>
    <xf numFmtId="0" fontId="42" fillId="10" borderId="13" xfId="0" applyFont="1" applyFill="1" applyBorder="1" applyAlignment="1">
      <alignment horizontal="center" vertical="center" wrapText="1"/>
    </xf>
    <xf numFmtId="0" fontId="42" fillId="9" borderId="6" xfId="0" applyFont="1" applyFill="1" applyBorder="1" applyAlignment="1">
      <alignment horizontal="center" vertical="center" wrapText="1"/>
    </xf>
    <xf numFmtId="49" fontId="42" fillId="6" borderId="11" xfId="0" applyNumberFormat="1" applyFont="1" applyFill="1" applyBorder="1" applyAlignment="1">
      <alignment horizontal="center" vertical="center" wrapText="1"/>
    </xf>
    <xf numFmtId="49" fontId="42" fillId="6" borderId="12" xfId="0" applyNumberFormat="1" applyFont="1" applyFill="1" applyBorder="1" applyAlignment="1">
      <alignment horizontal="center" vertical="center" wrapText="1"/>
    </xf>
    <xf numFmtId="49" fontId="42" fillId="6" borderId="13" xfId="0" applyNumberFormat="1" applyFont="1" applyFill="1" applyBorder="1" applyAlignment="1">
      <alignment horizontal="center" vertical="center" wrapText="1"/>
    </xf>
    <xf numFmtId="49" fontId="42" fillId="10" borderId="11" xfId="0" applyNumberFormat="1" applyFont="1" applyFill="1" applyBorder="1" applyAlignment="1">
      <alignment horizontal="center" vertical="center" wrapText="1"/>
    </xf>
    <xf numFmtId="49" fontId="42" fillId="10" borderId="12" xfId="0" applyNumberFormat="1" applyFont="1" applyFill="1" applyBorder="1" applyAlignment="1">
      <alignment horizontal="center" vertical="center" wrapText="1"/>
    </xf>
    <xf numFmtId="49" fontId="42" fillId="10" borderId="13" xfId="0" applyNumberFormat="1" applyFont="1" applyFill="1" applyBorder="1" applyAlignment="1">
      <alignment horizontal="center" vertical="center" wrapText="1"/>
    </xf>
    <xf numFmtId="49" fontId="42" fillId="2" borderId="11" xfId="0" applyNumberFormat="1" applyFont="1" applyFill="1" applyBorder="1" applyAlignment="1">
      <alignment horizontal="center" vertical="center" wrapText="1"/>
    </xf>
    <xf numFmtId="49" fontId="42" fillId="2" borderId="12" xfId="0" applyNumberFormat="1" applyFont="1" applyFill="1" applyBorder="1" applyAlignment="1">
      <alignment horizontal="center" vertical="center" wrapText="1"/>
    </xf>
    <xf numFmtId="49" fontId="42" fillId="2" borderId="13" xfId="0" applyNumberFormat="1" applyFont="1" applyFill="1" applyBorder="1" applyAlignment="1">
      <alignment horizontal="center" vertical="center" wrapText="1"/>
    </xf>
    <xf numFmtId="49" fontId="42" fillId="11" borderId="11" xfId="0" applyNumberFormat="1" applyFont="1" applyFill="1" applyBorder="1" applyAlignment="1">
      <alignment horizontal="center" vertical="center" wrapText="1"/>
    </xf>
    <xf numFmtId="49" fontId="42" fillId="11" borderId="12" xfId="0" applyNumberFormat="1" applyFont="1" applyFill="1" applyBorder="1" applyAlignment="1">
      <alignment horizontal="center" vertical="center" wrapText="1"/>
    </xf>
    <xf numFmtId="49" fontId="42" fillId="11" borderId="13" xfId="0" applyNumberFormat="1" applyFont="1" applyFill="1" applyBorder="1" applyAlignment="1">
      <alignment horizontal="center" vertical="center" wrapText="1"/>
    </xf>
    <xf numFmtId="49" fontId="42" fillId="9" borderId="11" xfId="0" applyNumberFormat="1" applyFont="1" applyFill="1" applyBorder="1" applyAlignment="1">
      <alignment horizontal="center" vertical="center" wrapText="1"/>
    </xf>
    <xf numFmtId="49" fontId="42" fillId="9" borderId="12" xfId="0" applyNumberFormat="1" applyFont="1" applyFill="1" applyBorder="1" applyAlignment="1">
      <alignment horizontal="center" vertical="center" wrapText="1"/>
    </xf>
    <xf numFmtId="49" fontId="42" fillId="9" borderId="13" xfId="0" applyNumberFormat="1" applyFont="1" applyFill="1" applyBorder="1" applyAlignment="1">
      <alignment horizontal="center" vertical="center" wrapText="1"/>
    </xf>
    <xf numFmtId="49" fontId="42" fillId="10" borderId="3" xfId="0" applyNumberFormat="1" applyFont="1" applyFill="1" applyBorder="1" applyAlignment="1">
      <alignment horizontal="center" vertical="center" wrapText="1"/>
    </xf>
    <xf numFmtId="0" fontId="42" fillId="10" borderId="3" xfId="0" applyFont="1" applyFill="1" applyBorder="1" applyAlignment="1">
      <alignment horizontal="center" vertical="center" wrapText="1"/>
    </xf>
    <xf numFmtId="49" fontId="42" fillId="10" borderId="15" xfId="0" applyNumberFormat="1" applyFont="1" applyFill="1" applyBorder="1" applyAlignment="1">
      <alignment horizontal="center" vertical="center" wrapText="1"/>
    </xf>
    <xf numFmtId="49" fontId="42" fillId="2" borderId="14" xfId="0" applyNumberFormat="1" applyFont="1" applyFill="1" applyBorder="1" applyAlignment="1">
      <alignment horizontal="center" vertical="center" wrapText="1"/>
    </xf>
    <xf numFmtId="49" fontId="42" fillId="2" borderId="15" xfId="0" applyNumberFormat="1" applyFont="1" applyFill="1" applyBorder="1" applyAlignment="1">
      <alignment horizontal="center" vertical="center" wrapText="1"/>
    </xf>
    <xf numFmtId="49" fontId="42" fillId="2" borderId="16" xfId="0" applyNumberFormat="1" applyFont="1" applyFill="1" applyBorder="1" applyAlignment="1">
      <alignment horizontal="center" vertical="center" wrapText="1"/>
    </xf>
    <xf numFmtId="0" fontId="42" fillId="2" borderId="11" xfId="0" applyFont="1" applyFill="1" applyBorder="1" applyAlignment="1">
      <alignment horizontal="center" vertical="center" wrapText="1"/>
    </xf>
    <xf numFmtId="0" fontId="42" fillId="2" borderId="12" xfId="0" applyFont="1" applyFill="1" applyBorder="1" applyAlignment="1">
      <alignment horizontal="center" vertical="center" wrapText="1"/>
    </xf>
    <xf numFmtId="0" fontId="42" fillId="2" borderId="13" xfId="0" applyFont="1" applyFill="1" applyBorder="1" applyAlignment="1">
      <alignment horizontal="center" vertical="center" wrapText="1"/>
    </xf>
    <xf numFmtId="0" fontId="5" fillId="2" borderId="2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5" xfId="0" applyFont="1" applyFill="1" applyBorder="1" applyAlignment="1">
      <alignment horizontal="center" vertical="center"/>
    </xf>
    <xf numFmtId="0" fontId="18" fillId="3" borderId="32" xfId="2" applyFont="1" applyFill="1" applyBorder="1" applyAlignment="1">
      <alignment horizontal="center" vertical="center" wrapText="1"/>
    </xf>
    <xf numFmtId="0" fontId="18" fillId="3" borderId="33" xfId="2" applyFont="1" applyFill="1" applyBorder="1" applyAlignment="1">
      <alignment horizontal="center" vertical="center" wrapText="1"/>
    </xf>
    <xf numFmtId="0" fontId="21" fillId="6" borderId="14" xfId="0" applyFont="1" applyFill="1" applyBorder="1" applyAlignment="1">
      <alignment horizontal="center" vertical="center" textRotation="90" wrapText="1"/>
    </xf>
    <xf numFmtId="0" fontId="21" fillId="6" borderId="15" xfId="0" applyFont="1" applyFill="1" applyBorder="1" applyAlignment="1">
      <alignment horizontal="center" vertical="center" textRotation="90" wrapText="1"/>
    </xf>
    <xf numFmtId="0" fontId="21" fillId="6" borderId="16" xfId="0" applyFont="1" applyFill="1" applyBorder="1" applyAlignment="1">
      <alignment horizontal="center" vertical="center" textRotation="90" wrapText="1"/>
    </xf>
    <xf numFmtId="0" fontId="18" fillId="2" borderId="37" xfId="2" applyFont="1" applyFill="1" applyBorder="1" applyAlignment="1">
      <alignment horizontal="center" vertical="center" wrapText="1"/>
    </xf>
    <xf numFmtId="0" fontId="18" fillId="2" borderId="83" xfId="2" applyFont="1" applyFill="1" applyBorder="1" applyAlignment="1">
      <alignment horizontal="center" vertical="center" wrapText="1"/>
    </xf>
    <xf numFmtId="0" fontId="18" fillId="2" borderId="38" xfId="2" applyFont="1" applyFill="1" applyBorder="1" applyAlignment="1">
      <alignment horizontal="center" vertical="center" wrapText="1"/>
    </xf>
    <xf numFmtId="0" fontId="18" fillId="2" borderId="39" xfId="2" applyFont="1" applyFill="1" applyBorder="1" applyAlignment="1">
      <alignment horizontal="center" vertical="center" wrapText="1"/>
    </xf>
    <xf numFmtId="0" fontId="18" fillId="2" borderId="40" xfId="2" applyFont="1" applyFill="1" applyBorder="1" applyAlignment="1">
      <alignment horizontal="center" vertical="center" wrapText="1"/>
    </xf>
    <xf numFmtId="0" fontId="18" fillId="2" borderId="42" xfId="2" applyFont="1" applyFill="1" applyBorder="1" applyAlignment="1">
      <alignment horizontal="center" vertical="center" wrapText="1"/>
    </xf>
    <xf numFmtId="0" fontId="18" fillId="2" borderId="41" xfId="2" applyFont="1" applyFill="1" applyBorder="1" applyAlignment="1">
      <alignment horizontal="center" vertical="center" wrapText="1"/>
    </xf>
    <xf numFmtId="0" fontId="18" fillId="2" borderId="43" xfId="2" applyFont="1" applyFill="1" applyBorder="1" applyAlignment="1">
      <alignment horizontal="center" vertical="center" wrapText="1"/>
    </xf>
    <xf numFmtId="9" fontId="39" fillId="0" borderId="87" xfId="0" applyNumberFormat="1" applyFont="1" applyBorder="1" applyAlignment="1" applyProtection="1">
      <alignment horizontal="center" vertical="center"/>
      <protection hidden="1"/>
    </xf>
    <xf numFmtId="9" fontId="39" fillId="0" borderId="88" xfId="0" applyNumberFormat="1" applyFont="1" applyBorder="1" applyAlignment="1" applyProtection="1">
      <alignment horizontal="center" vertical="center"/>
      <protection hidden="1"/>
    </xf>
    <xf numFmtId="9" fontId="26" fillId="7" borderId="84" xfId="1" applyFont="1" applyFill="1" applyBorder="1" applyAlignment="1" applyProtection="1">
      <alignment horizontal="center" vertical="center"/>
      <protection hidden="1"/>
    </xf>
    <xf numFmtId="9" fontId="26" fillId="7" borderId="85" xfId="1" applyFont="1" applyFill="1" applyBorder="1" applyAlignment="1" applyProtection="1">
      <alignment horizontal="center" vertical="center"/>
      <protection hidden="1"/>
    </xf>
    <xf numFmtId="9" fontId="26" fillId="7" borderId="86" xfId="1" applyFont="1" applyFill="1" applyBorder="1" applyAlignment="1" applyProtection="1">
      <alignment horizontal="center" vertical="center"/>
      <protection hidden="1"/>
    </xf>
    <xf numFmtId="0" fontId="25" fillId="9" borderId="14" xfId="0" applyFont="1" applyFill="1" applyBorder="1" applyAlignment="1">
      <alignment horizontal="center" vertical="center" textRotation="90"/>
    </xf>
    <xf numFmtId="0" fontId="25" fillId="9" borderId="15" xfId="0" applyFont="1" applyFill="1" applyBorder="1" applyAlignment="1">
      <alignment horizontal="center" vertical="center" textRotation="90"/>
    </xf>
    <xf numFmtId="0" fontId="25" fillId="9" borderId="16" xfId="0" applyFont="1" applyFill="1" applyBorder="1" applyAlignment="1">
      <alignment horizontal="center" vertical="center" textRotation="90"/>
    </xf>
    <xf numFmtId="9" fontId="39" fillId="4" borderId="87" xfId="0" applyNumberFormat="1" applyFont="1" applyFill="1" applyBorder="1" applyAlignment="1" applyProtection="1">
      <alignment horizontal="center" vertical="center"/>
      <protection hidden="1"/>
    </xf>
    <xf numFmtId="9" fontId="39" fillId="4" borderId="88" xfId="0" applyNumberFormat="1" applyFont="1" applyFill="1" applyBorder="1" applyAlignment="1" applyProtection="1">
      <alignment horizontal="center" vertical="center"/>
      <protection hidden="1"/>
    </xf>
    <xf numFmtId="9" fontId="39" fillId="4" borderId="89" xfId="0" applyNumberFormat="1" applyFont="1" applyFill="1" applyBorder="1" applyAlignment="1" applyProtection="1">
      <alignment horizontal="center" vertical="center"/>
      <protection hidden="1"/>
    </xf>
    <xf numFmtId="0" fontId="25" fillId="11" borderId="15" xfId="0" applyFont="1" applyFill="1" applyBorder="1" applyAlignment="1">
      <alignment horizontal="center" vertical="center" textRotation="90"/>
    </xf>
    <xf numFmtId="9" fontId="39" fillId="7" borderId="88" xfId="0" applyNumberFormat="1" applyFont="1" applyFill="1" applyBorder="1" applyAlignment="1" applyProtection="1">
      <alignment horizontal="center" vertical="center"/>
      <protection hidden="1"/>
    </xf>
    <xf numFmtId="0" fontId="25" fillId="2" borderId="14" xfId="0" applyFont="1" applyFill="1" applyBorder="1" applyAlignment="1">
      <alignment horizontal="center" vertical="center" textRotation="90"/>
    </xf>
    <xf numFmtId="0" fontId="25" fillId="2" borderId="15" xfId="0" applyFont="1" applyFill="1" applyBorder="1" applyAlignment="1">
      <alignment horizontal="center" vertical="center" textRotation="90"/>
    </xf>
    <xf numFmtId="0" fontId="25" fillId="2" borderId="16" xfId="0" applyFont="1" applyFill="1" applyBorder="1" applyAlignment="1">
      <alignment horizontal="center" vertical="center" textRotation="90"/>
    </xf>
    <xf numFmtId="9" fontId="39" fillId="0" borderId="89" xfId="0" applyNumberFormat="1" applyFont="1" applyBorder="1" applyAlignment="1" applyProtection="1">
      <alignment horizontal="center" vertical="center"/>
      <protection hidden="1"/>
    </xf>
    <xf numFmtId="0" fontId="25" fillId="10" borderId="14" xfId="0" applyFont="1" applyFill="1" applyBorder="1" applyAlignment="1">
      <alignment horizontal="center" vertical="center" textRotation="90"/>
    </xf>
    <xf numFmtId="0" fontId="25" fillId="10" borderId="15" xfId="0" applyFont="1" applyFill="1" applyBorder="1" applyAlignment="1">
      <alignment horizontal="center" vertical="center" textRotation="90"/>
    </xf>
    <xf numFmtId="0" fontId="57" fillId="18" borderId="3" xfId="0" applyFont="1" applyFill="1" applyBorder="1" applyAlignment="1">
      <alignment horizontal="center" vertical="center"/>
    </xf>
    <xf numFmtId="0" fontId="0" fillId="4" borderId="3" xfId="0" applyFill="1" applyBorder="1" applyAlignment="1">
      <alignment horizontal="center" vertical="center"/>
    </xf>
    <xf numFmtId="0" fontId="0" fillId="4" borderId="3" xfId="0" applyFill="1" applyBorder="1" applyAlignment="1">
      <alignment horizontal="center"/>
    </xf>
    <xf numFmtId="49" fontId="0" fillId="4" borderId="3" xfId="0" applyNumberFormat="1" applyFill="1" applyBorder="1" applyAlignment="1">
      <alignment horizontal="center"/>
    </xf>
    <xf numFmtId="14" fontId="0" fillId="4" borderId="3" xfId="0" applyNumberFormat="1" applyFill="1" applyBorder="1" applyAlignment="1">
      <alignment horizontal="center"/>
    </xf>
    <xf numFmtId="0" fontId="56" fillId="18" borderId="3" xfId="0" applyFont="1" applyFill="1" applyBorder="1" applyAlignment="1">
      <alignment horizontal="center" vertical="center"/>
    </xf>
    <xf numFmtId="49" fontId="47" fillId="4" borderId="91" xfId="0" applyNumberFormat="1" applyFont="1" applyFill="1" applyBorder="1" applyAlignment="1">
      <alignment horizontal="left" vertical="center" wrapText="1"/>
    </xf>
    <xf numFmtId="49" fontId="47" fillId="4" borderId="3" xfId="0" applyNumberFormat="1" applyFont="1" applyFill="1" applyBorder="1" applyAlignment="1">
      <alignment horizontal="left" vertical="center" wrapText="1"/>
    </xf>
    <xf numFmtId="49" fontId="47" fillId="4" borderId="92" xfId="0" applyNumberFormat="1" applyFont="1" applyFill="1" applyBorder="1" applyAlignment="1">
      <alignment horizontal="left" vertical="center" wrapText="1"/>
    </xf>
    <xf numFmtId="49" fontId="47" fillId="4" borderId="4" xfId="0" applyNumberFormat="1" applyFont="1" applyFill="1" applyBorder="1" applyAlignment="1">
      <alignment horizontal="left"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4" borderId="3" xfId="0" applyFont="1" applyFill="1" applyBorder="1" applyAlignment="1" applyProtection="1">
      <alignment horizontal="center"/>
      <protection locked="0"/>
    </xf>
    <xf numFmtId="164" fontId="6" fillId="4" borderId="22" xfId="0" applyNumberFormat="1" applyFont="1" applyFill="1" applyBorder="1" applyAlignment="1" applyProtection="1">
      <alignment horizontal="center"/>
      <protection locked="0"/>
    </xf>
    <xf numFmtId="164" fontId="6" fillId="4" borderId="23" xfId="0" applyNumberFormat="1" applyFont="1" applyFill="1" applyBorder="1" applyAlignment="1" applyProtection="1">
      <alignment horizontal="center"/>
      <protection locked="0"/>
    </xf>
    <xf numFmtId="164" fontId="6" fillId="4" borderId="9" xfId="0" applyNumberFormat="1" applyFont="1" applyFill="1" applyBorder="1" applyAlignment="1" applyProtection="1">
      <alignment horizontal="center"/>
      <protection locked="0"/>
    </xf>
    <xf numFmtId="0" fontId="8" fillId="2" borderId="2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49" fontId="47" fillId="4" borderId="90" xfId="0" applyNumberFormat="1" applyFont="1" applyFill="1" applyBorder="1" applyAlignment="1">
      <alignment horizontal="left" vertical="center" wrapText="1"/>
    </xf>
    <xf numFmtId="49" fontId="47" fillId="4" borderId="2" xfId="0" applyNumberFormat="1" applyFont="1" applyFill="1" applyBorder="1" applyAlignment="1">
      <alignment horizontal="left" vertical="center" wrapText="1"/>
    </xf>
    <xf numFmtId="0" fontId="34" fillId="0" borderId="9" xfId="0" applyFont="1" applyFill="1" applyBorder="1" applyAlignment="1" applyProtection="1">
      <alignment horizontal="left" vertical="center" wrapText="1"/>
      <protection locked="0"/>
    </xf>
    <xf numFmtId="0" fontId="34" fillId="0" borderId="79" xfId="0" applyFont="1" applyFill="1" applyBorder="1" applyAlignment="1" applyProtection="1">
      <alignment horizontal="left" vertical="center" wrapText="1"/>
      <protection locked="0"/>
    </xf>
    <xf numFmtId="9" fontId="13" fillId="7" borderId="3" xfId="1" applyFont="1" applyFill="1" applyBorder="1" applyAlignment="1" applyProtection="1">
      <alignment horizontal="center" vertical="center"/>
      <protection hidden="1"/>
    </xf>
    <xf numFmtId="49" fontId="52" fillId="4" borderId="2" xfId="0" applyNumberFormat="1" applyFont="1" applyFill="1" applyBorder="1" applyAlignment="1" applyProtection="1">
      <alignment horizontal="left" vertical="top" wrapText="1"/>
      <protection locked="0"/>
    </xf>
    <xf numFmtId="49" fontId="0" fillId="4" borderId="2" xfId="0" applyNumberFormat="1" applyFill="1" applyBorder="1" applyAlignment="1" applyProtection="1">
      <alignment horizontal="left" vertical="top" wrapText="1"/>
      <protection locked="0"/>
    </xf>
    <xf numFmtId="49" fontId="0" fillId="4" borderId="84" xfId="0" applyNumberFormat="1" applyFill="1" applyBorder="1" applyAlignment="1" applyProtection="1">
      <alignment horizontal="left" vertical="top" wrapText="1"/>
      <protection locked="0"/>
    </xf>
    <xf numFmtId="49" fontId="52" fillId="4" borderId="3" xfId="0" applyNumberFormat="1" applyFon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85" xfId="0" applyNumberFormat="1" applyFill="1" applyBorder="1" applyAlignment="1" applyProtection="1">
      <alignment horizontal="left" vertical="top" wrapText="1"/>
      <protection locked="0"/>
    </xf>
    <xf numFmtId="49" fontId="52" fillId="4" borderId="4" xfId="0" applyNumberFormat="1" applyFont="1" applyFill="1" applyBorder="1" applyAlignment="1" applyProtection="1">
      <alignment horizontal="left" vertical="top" wrapText="1"/>
      <protection locked="0"/>
    </xf>
    <xf numFmtId="49" fontId="52" fillId="4" borderId="86" xfId="0" applyNumberFormat="1" applyFont="1" applyFill="1" applyBorder="1" applyAlignment="1" applyProtection="1">
      <alignment horizontal="left" vertical="top" wrapText="1"/>
      <protection locked="0"/>
    </xf>
    <xf numFmtId="0" fontId="55" fillId="0" borderId="94" xfId="0" applyFont="1" applyBorder="1" applyAlignment="1" applyProtection="1">
      <alignment vertical="center" wrapText="1"/>
      <protection locked="0"/>
    </xf>
    <xf numFmtId="0" fontId="54" fillId="0" borderId="9" xfId="0" applyFont="1" applyBorder="1" applyAlignment="1" applyProtection="1">
      <alignment horizontal="left" wrapText="1"/>
      <protection locked="0"/>
    </xf>
  </cellXfs>
  <cellStyles count="5">
    <cellStyle name="Normal" xfId="0" builtinId="0"/>
    <cellStyle name="Normal - Style1 2" xfId="3" xr:uid="{00000000-0005-0000-0000-000001000000}"/>
    <cellStyle name="Normal 2" xfId="2" xr:uid="{00000000-0005-0000-0000-000002000000}"/>
    <cellStyle name="Normal 2 2" xfId="4" xr:uid="{00000000-0005-0000-0000-000003000000}"/>
    <cellStyle name="Porcentaje" xfId="1" builtinId="5"/>
  </cellStyles>
  <dxfs count="29">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363681</xdr:colOff>
      <xdr:row>0</xdr:row>
      <xdr:rowOff>34637</xdr:rowOff>
    </xdr:from>
    <xdr:to>
      <xdr:col>2</xdr:col>
      <xdr:colOff>1965223</xdr:colOff>
      <xdr:row>3</xdr:row>
      <xdr:rowOff>103909</xdr:rowOff>
    </xdr:to>
    <xdr:pic>
      <xdr:nvPicPr>
        <xdr:cNvPr id="2" name="Imagen 1" descr="LOGO HSCL">
          <a:extLst>
            <a:ext uri="{FF2B5EF4-FFF2-40B4-BE49-F238E27FC236}">
              <a16:creationId xmlns:a16="http://schemas.microsoft.com/office/drawing/2014/main" id="{9E8ACFEE-5951-A00C-688D-A2D018C2E4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950" y="34637"/>
          <a:ext cx="1601542" cy="596810"/>
        </a:xfrm>
        <a:prstGeom prst="rect">
          <a:avLst/>
        </a:prstGeom>
        <a:noFill/>
        <a:ln>
          <a:noFill/>
        </a:ln>
      </xdr:spPr>
    </xdr:pic>
    <xdr:clientData/>
  </xdr:twoCellAnchor>
  <xdr:twoCellAnchor editAs="oneCell">
    <xdr:from>
      <xdr:col>8</xdr:col>
      <xdr:colOff>2822864</xdr:colOff>
      <xdr:row>42</xdr:row>
      <xdr:rowOff>86169</xdr:rowOff>
    </xdr:from>
    <xdr:to>
      <xdr:col>10</xdr:col>
      <xdr:colOff>1350818</xdr:colOff>
      <xdr:row>44</xdr:row>
      <xdr:rowOff>152765</xdr:rowOff>
    </xdr:to>
    <xdr:pic>
      <xdr:nvPicPr>
        <xdr:cNvPr id="3" name="Imagen 2">
          <a:extLst>
            <a:ext uri="{FF2B5EF4-FFF2-40B4-BE49-F238E27FC236}">
              <a16:creationId xmlns:a16="http://schemas.microsoft.com/office/drawing/2014/main" id="{024CA547-A1F3-4317-8D16-6C883BBCDBD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35591" y="25838305"/>
          <a:ext cx="3463636" cy="447596"/>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topLeftCell="A16" zoomScale="133" zoomScaleNormal="90" zoomScalePageLayoutView="90" workbookViewId="0">
      <selection activeCell="E13" sqref="E13:F13"/>
    </sheetView>
  </sheetViews>
  <sheetFormatPr baseColWidth="10" defaultColWidth="0" defaultRowHeight="13.8" zeroHeight="1" x14ac:dyDescent="0.3"/>
  <cols>
    <col min="1" max="1" width="3.88671875" style="36" customWidth="1"/>
    <col min="2" max="2" width="15.33203125" style="36" customWidth="1"/>
    <col min="3" max="3" width="17.33203125" style="36" customWidth="1"/>
    <col min="4" max="4" width="28.44140625" style="36" customWidth="1"/>
    <col min="5" max="5" width="12.88671875" style="36" customWidth="1"/>
    <col min="6" max="6" width="47.109375" style="36" customWidth="1"/>
    <col min="7" max="7" width="21.44140625" style="36" customWidth="1"/>
    <col min="8" max="8" width="6.44140625" style="36" customWidth="1"/>
    <col min="9" max="9" width="2.44140625" style="36" customWidth="1"/>
    <col min="10" max="16384" width="11.44140625" style="36" hidden="1"/>
  </cols>
  <sheetData>
    <row r="1" spans="2:8" ht="14.4" thickBot="1" x14ac:dyDescent="0.35"/>
    <row r="2" spans="2:8" ht="73.5" customHeight="1" x14ac:dyDescent="0.3">
      <c r="B2" s="200" t="s">
        <v>0</v>
      </c>
      <c r="C2" s="201"/>
      <c r="D2" s="201"/>
      <c r="E2" s="201"/>
      <c r="F2" s="201"/>
      <c r="G2" s="201"/>
      <c r="H2" s="202"/>
    </row>
    <row r="3" spans="2:8" ht="65.25" customHeight="1" x14ac:dyDescent="0.3">
      <c r="B3" s="203" t="s">
        <v>1</v>
      </c>
      <c r="C3" s="204"/>
      <c r="D3" s="204"/>
      <c r="E3" s="204"/>
      <c r="F3" s="204"/>
      <c r="G3" s="204"/>
      <c r="H3" s="205"/>
    </row>
    <row r="4" spans="2:8" ht="82.5" customHeight="1" x14ac:dyDescent="0.3">
      <c r="B4" s="203"/>
      <c r="C4" s="204"/>
      <c r="D4" s="204"/>
      <c r="E4" s="204"/>
      <c r="F4" s="204"/>
      <c r="G4" s="204"/>
      <c r="H4" s="205"/>
    </row>
    <row r="5" spans="2:8" ht="21.75" customHeight="1" x14ac:dyDescent="0.3">
      <c r="B5" s="206" t="s">
        <v>2</v>
      </c>
      <c r="C5" s="207"/>
      <c r="D5" s="207"/>
      <c r="E5" s="207"/>
      <c r="F5" s="207"/>
      <c r="G5" s="207"/>
      <c r="H5" s="208"/>
    </row>
    <row r="6" spans="2:8" ht="42" customHeight="1" x14ac:dyDescent="0.3">
      <c r="B6" s="209" t="s">
        <v>3</v>
      </c>
      <c r="C6" s="210"/>
      <c r="D6" s="210"/>
      <c r="E6" s="210"/>
      <c r="F6" s="210"/>
      <c r="G6" s="210"/>
      <c r="H6" s="211"/>
    </row>
    <row r="7" spans="2:8" ht="14.25" customHeight="1" x14ac:dyDescent="0.3">
      <c r="B7" s="209"/>
      <c r="C7" s="210"/>
      <c r="D7" s="210"/>
      <c r="E7" s="210"/>
      <c r="F7" s="210"/>
      <c r="G7" s="210"/>
      <c r="H7" s="211"/>
    </row>
    <row r="8" spans="2:8" ht="12.75" customHeight="1" thickBot="1" x14ac:dyDescent="0.35">
      <c r="B8" s="48"/>
      <c r="C8" s="42"/>
      <c r="D8" s="57"/>
      <c r="E8" s="58"/>
      <c r="F8" s="58"/>
      <c r="G8" s="56"/>
      <c r="H8" s="50"/>
    </row>
    <row r="9" spans="2:8" ht="21" customHeight="1" thickTop="1" x14ac:dyDescent="0.3">
      <c r="B9" s="48"/>
      <c r="C9" s="212" t="s">
        <v>4</v>
      </c>
      <c r="D9" s="213"/>
      <c r="E9" s="214" t="s">
        <v>5</v>
      </c>
      <c r="F9" s="215"/>
      <c r="G9" s="42"/>
      <c r="H9" s="50"/>
    </row>
    <row r="10" spans="2:8" ht="37.5" customHeight="1" x14ac:dyDescent="0.3">
      <c r="B10" s="48"/>
      <c r="C10" s="192" t="s">
        <v>6</v>
      </c>
      <c r="D10" s="193"/>
      <c r="E10" s="194" t="s">
        <v>7</v>
      </c>
      <c r="F10" s="195"/>
      <c r="G10" s="42"/>
      <c r="H10" s="50"/>
    </row>
    <row r="11" spans="2:8" ht="39.75" customHeight="1" x14ac:dyDescent="0.3">
      <c r="B11" s="48"/>
      <c r="C11" s="196" t="s">
        <v>8</v>
      </c>
      <c r="D11" s="197"/>
      <c r="E11" s="173" t="s">
        <v>9</v>
      </c>
      <c r="F11" s="174"/>
      <c r="G11" s="42"/>
      <c r="H11" s="50"/>
    </row>
    <row r="12" spans="2:8" ht="59.25" customHeight="1" x14ac:dyDescent="0.3">
      <c r="B12" s="48"/>
      <c r="C12" s="196" t="s">
        <v>10</v>
      </c>
      <c r="D12" s="197"/>
      <c r="E12" s="198" t="s">
        <v>11</v>
      </c>
      <c r="F12" s="199"/>
      <c r="G12" s="42"/>
      <c r="H12" s="50"/>
    </row>
    <row r="13" spans="2:8" ht="33.75" customHeight="1" x14ac:dyDescent="0.3">
      <c r="B13" s="48"/>
      <c r="C13" s="171" t="s">
        <v>12</v>
      </c>
      <c r="D13" s="172"/>
      <c r="E13" s="173" t="s">
        <v>13</v>
      </c>
      <c r="F13" s="174"/>
      <c r="G13" s="42"/>
      <c r="H13" s="50"/>
    </row>
    <row r="14" spans="2:8" ht="19.5" customHeight="1" x14ac:dyDescent="0.3">
      <c r="B14" s="48"/>
      <c r="C14" s="54"/>
      <c r="D14" s="54"/>
      <c r="E14" s="55"/>
      <c r="F14" s="55"/>
      <c r="G14" s="42"/>
      <c r="H14" s="50"/>
    </row>
    <row r="15" spans="2:8" ht="37.5" customHeight="1" thickBot="1" x14ac:dyDescent="0.35">
      <c r="B15" s="167" t="s">
        <v>14</v>
      </c>
      <c r="C15" s="168"/>
      <c r="D15" s="168"/>
      <c r="E15" s="168"/>
      <c r="F15" s="168"/>
      <c r="G15" s="168"/>
      <c r="H15" s="169"/>
    </row>
    <row r="16" spans="2:8" ht="27.75" customHeight="1" thickBot="1" x14ac:dyDescent="0.35">
      <c r="B16" s="48"/>
      <c r="C16" s="175" t="s">
        <v>15</v>
      </c>
      <c r="D16" s="176"/>
      <c r="E16" s="176" t="s">
        <v>16</v>
      </c>
      <c r="F16" s="187"/>
      <c r="G16" s="42"/>
      <c r="H16" s="50"/>
    </row>
    <row r="17" spans="2:8" ht="27.75" customHeight="1" x14ac:dyDescent="0.3">
      <c r="B17" s="48"/>
      <c r="C17" s="188" t="s">
        <v>17</v>
      </c>
      <c r="D17" s="189"/>
      <c r="E17" s="190" t="s">
        <v>18</v>
      </c>
      <c r="F17" s="191"/>
      <c r="G17" s="82"/>
      <c r="H17" s="50"/>
    </row>
    <row r="18" spans="2:8" ht="41.25" customHeight="1" x14ac:dyDescent="0.3">
      <c r="B18" s="48"/>
      <c r="C18" s="177" t="s">
        <v>19</v>
      </c>
      <c r="D18" s="178"/>
      <c r="E18" s="179" t="s">
        <v>20</v>
      </c>
      <c r="F18" s="180"/>
      <c r="G18" s="83"/>
      <c r="H18" s="50"/>
    </row>
    <row r="19" spans="2:8" ht="37.5" customHeight="1" thickBot="1" x14ac:dyDescent="0.35">
      <c r="B19" s="48"/>
      <c r="C19" s="181" t="s">
        <v>21</v>
      </c>
      <c r="D19" s="182"/>
      <c r="E19" s="183" t="s">
        <v>22</v>
      </c>
      <c r="F19" s="184"/>
      <c r="G19" s="83"/>
      <c r="H19" s="50"/>
    </row>
    <row r="20" spans="2:8" ht="11.25" customHeight="1" x14ac:dyDescent="0.3">
      <c r="B20" s="43"/>
      <c r="C20" s="44"/>
      <c r="D20" s="44"/>
      <c r="E20" s="44"/>
      <c r="F20" s="44"/>
      <c r="G20" s="44"/>
      <c r="H20" s="45"/>
    </row>
    <row r="21" spans="2:8" ht="14.25" customHeight="1" x14ac:dyDescent="0.3">
      <c r="B21" s="46"/>
      <c r="C21" s="185"/>
      <c r="D21" s="185"/>
      <c r="E21" s="186"/>
      <c r="F21" s="186"/>
      <c r="G21" s="186"/>
      <c r="H21" s="47"/>
    </row>
    <row r="22" spans="2:8" ht="36" customHeight="1" x14ac:dyDescent="0.3">
      <c r="B22" s="167" t="s">
        <v>23</v>
      </c>
      <c r="C22" s="168"/>
      <c r="D22" s="168"/>
      <c r="E22" s="168"/>
      <c r="F22" s="168"/>
      <c r="G22" s="168"/>
      <c r="H22" s="169"/>
    </row>
    <row r="23" spans="2:8" x14ac:dyDescent="0.3">
      <c r="B23" s="48"/>
      <c r="C23" s="49"/>
      <c r="D23" s="49"/>
      <c r="E23" s="170"/>
      <c r="F23" s="170"/>
      <c r="G23" s="42"/>
      <c r="H23" s="50"/>
    </row>
    <row r="24" spans="2:8" ht="14.4" thickBot="1" x14ac:dyDescent="0.35">
      <c r="B24" s="51"/>
      <c r="C24" s="52"/>
      <c r="D24" s="52"/>
      <c r="E24" s="52"/>
      <c r="F24" s="52"/>
      <c r="G24" s="52"/>
      <c r="H24" s="53"/>
    </row>
    <row r="25" spans="2:8" x14ac:dyDescent="0.3"/>
    <row r="26" spans="2:8" ht="29.25" customHeight="1" x14ac:dyDescent="0.3"/>
    <row r="27" spans="2:8" ht="26.25" customHeight="1" x14ac:dyDescent="0.3"/>
    <row r="28" spans="2:8" ht="43.5" customHeight="1" x14ac:dyDescent="0.3"/>
    <row r="29" spans="2:8" ht="53.25" customHeight="1" x14ac:dyDescent="0.3"/>
    <row r="30" spans="2:8" x14ac:dyDescent="0.3"/>
    <row r="31" spans="2:8" x14ac:dyDescent="0.3"/>
    <row r="32" spans="2:8" x14ac:dyDescent="0.3"/>
    <row r="33" x14ac:dyDescent="0.3"/>
    <row r="34" x14ac:dyDescent="0.3"/>
    <row r="35"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x14ac:dyDescent="0.3"/>
    <row r="52" x14ac:dyDescent="0.3"/>
    <row r="54" x14ac:dyDescent="0.3"/>
  </sheetData>
  <sheetProtection algorithmName="SHA-512" hashValue="t7sIeOvFa2bhukBsHVcHmO5gG9cifT20ZR8W/o5PL1FLs7w8K+KkEm6wLVbMVfYFM8W9luBRuNKu+qdhAWPM7w==" saltValue="H/shNuEdnFDauevCofk8Sw==" spinCount="100000" sheet="1" objects="1" scenarios="1"/>
  <mergeCells count="27">
    <mergeCell ref="B2:H2"/>
    <mergeCell ref="B3:H4"/>
    <mergeCell ref="B5:H5"/>
    <mergeCell ref="B6:H7"/>
    <mergeCell ref="C9:D9"/>
    <mergeCell ref="E9:F9"/>
    <mergeCell ref="C10:D10"/>
    <mergeCell ref="E10:F10"/>
    <mergeCell ref="C11:D11"/>
    <mergeCell ref="E11:F11"/>
    <mergeCell ref="C12:D12"/>
    <mergeCell ref="E12:F12"/>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9"/>
  <sheetViews>
    <sheetView showGridLines="0" topLeftCell="B1" zoomScale="80" zoomScaleNormal="80" zoomScalePageLayoutView="80" workbookViewId="0">
      <selection activeCell="H54" sqref="H54"/>
    </sheetView>
  </sheetViews>
  <sheetFormatPr baseColWidth="10" defaultColWidth="11.44140625" defaultRowHeight="13.8" x14ac:dyDescent="0.25"/>
  <cols>
    <col min="1" max="1" width="3" style="38" hidden="1" customWidth="1"/>
    <col min="2" max="2" width="9.44140625" style="38" customWidth="1"/>
    <col min="3" max="3" width="25.44140625" style="38" customWidth="1"/>
    <col min="4" max="4" width="46.44140625" style="38" customWidth="1"/>
    <col min="5" max="5" width="10.109375" style="60" customWidth="1"/>
    <col min="6" max="6" width="44.44140625" style="60" customWidth="1"/>
    <col min="7" max="7" width="15.44140625" style="38" customWidth="1"/>
    <col min="8" max="9" width="43" style="38" customWidth="1"/>
    <col min="10" max="10" width="29.44140625" style="63" customWidth="1"/>
    <col min="11" max="12" width="11.44140625" style="63" customWidth="1"/>
    <col min="13" max="24" width="11.44140625" style="38" customWidth="1"/>
    <col min="25" max="16384" width="11.44140625" style="38"/>
  </cols>
  <sheetData>
    <row r="1" spans="1:32" x14ac:dyDescent="0.25">
      <c r="B1" s="37"/>
      <c r="C1" s="37"/>
      <c r="D1" s="37"/>
      <c r="E1" s="59"/>
      <c r="F1" s="59"/>
      <c r="G1" s="37"/>
      <c r="H1" s="37"/>
      <c r="I1" s="37"/>
      <c r="J1" s="61"/>
      <c r="K1" s="61"/>
      <c r="L1" s="61"/>
      <c r="M1" s="37"/>
      <c r="N1" s="37"/>
      <c r="O1" s="37"/>
      <c r="P1" s="37"/>
      <c r="Q1" s="37"/>
      <c r="R1" s="37"/>
      <c r="S1" s="37"/>
      <c r="T1" s="37"/>
      <c r="U1" s="37"/>
      <c r="V1" s="37"/>
      <c r="W1" s="37"/>
      <c r="X1" s="37"/>
    </row>
    <row r="2" spans="1:32" x14ac:dyDescent="0.25">
      <c r="B2" s="37"/>
      <c r="C2" s="37"/>
      <c r="D2" s="37"/>
      <c r="E2" s="59"/>
      <c r="F2" s="59"/>
      <c r="G2" s="37"/>
      <c r="H2" s="37"/>
      <c r="I2" s="37"/>
      <c r="J2" s="61"/>
      <c r="K2" s="61"/>
      <c r="L2" s="61"/>
      <c r="M2" s="37"/>
      <c r="N2" s="37"/>
      <c r="O2" s="37"/>
      <c r="P2" s="37"/>
      <c r="Q2" s="37"/>
      <c r="R2" s="37"/>
      <c r="S2" s="37"/>
      <c r="T2" s="37"/>
      <c r="U2" s="37"/>
      <c r="V2" s="37"/>
      <c r="W2" s="37"/>
      <c r="X2" s="37"/>
    </row>
    <row r="3" spans="1:32" x14ac:dyDescent="0.25">
      <c r="B3" s="37"/>
      <c r="C3" s="37"/>
      <c r="D3" s="37"/>
      <c r="E3" s="59"/>
      <c r="F3" s="59"/>
      <c r="G3" s="37"/>
      <c r="H3" s="37"/>
      <c r="I3" s="37"/>
      <c r="J3" s="61"/>
      <c r="K3" s="61"/>
      <c r="L3" s="61"/>
      <c r="M3" s="37"/>
      <c r="N3" s="37"/>
      <c r="O3" s="37"/>
      <c r="P3" s="37"/>
      <c r="Q3" s="37"/>
      <c r="R3" s="37"/>
      <c r="S3" s="37"/>
      <c r="T3" s="37"/>
      <c r="U3" s="37"/>
      <c r="V3" s="37"/>
      <c r="W3" s="37"/>
      <c r="X3" s="37"/>
    </row>
    <row r="4" spans="1:32" x14ac:dyDescent="0.25">
      <c r="B4" s="37"/>
      <c r="C4" s="37"/>
      <c r="D4" s="37"/>
      <c r="E4" s="59"/>
      <c r="F4" s="59"/>
      <c r="G4" s="37"/>
      <c r="H4" s="37"/>
      <c r="I4" s="37"/>
      <c r="J4" s="61"/>
      <c r="K4" s="61"/>
      <c r="L4" s="61"/>
      <c r="M4" s="37"/>
      <c r="N4" s="37"/>
      <c r="O4" s="37"/>
      <c r="P4" s="37"/>
      <c r="Q4" s="37"/>
      <c r="R4" s="37"/>
      <c r="S4" s="37"/>
      <c r="T4" s="37"/>
      <c r="U4" s="37"/>
      <c r="V4" s="37"/>
      <c r="W4" s="37"/>
      <c r="X4" s="37"/>
    </row>
    <row r="5" spans="1:32" x14ac:dyDescent="0.25">
      <c r="B5" s="37"/>
      <c r="C5" s="37"/>
      <c r="D5" s="37"/>
      <c r="E5" s="59"/>
      <c r="F5" s="59"/>
      <c r="G5" s="37"/>
      <c r="H5" s="37"/>
      <c r="I5" s="37"/>
      <c r="J5" s="61"/>
      <c r="K5" s="61"/>
      <c r="L5" s="61"/>
      <c r="M5" s="37"/>
      <c r="N5" s="37"/>
      <c r="O5" s="37"/>
      <c r="P5" s="37"/>
      <c r="Q5" s="37"/>
      <c r="R5" s="37"/>
      <c r="S5" s="37"/>
      <c r="T5" s="37"/>
      <c r="U5" s="37"/>
      <c r="V5" s="37"/>
      <c r="W5" s="37"/>
      <c r="X5" s="37"/>
    </row>
    <row r="6" spans="1:32" x14ac:dyDescent="0.25">
      <c r="B6" s="37"/>
      <c r="C6" s="37"/>
      <c r="D6" s="37"/>
      <c r="E6" s="59"/>
      <c r="F6" s="59"/>
      <c r="G6" s="37"/>
      <c r="H6" s="37"/>
      <c r="I6" s="37"/>
      <c r="J6" s="61"/>
      <c r="K6" s="61"/>
      <c r="L6" s="61"/>
      <c r="M6" s="37"/>
      <c r="N6" s="37"/>
      <c r="O6" s="37"/>
      <c r="P6" s="37"/>
      <c r="Q6" s="37"/>
      <c r="R6" s="37"/>
      <c r="S6" s="37"/>
      <c r="T6" s="37"/>
      <c r="U6" s="37"/>
      <c r="V6" s="37"/>
      <c r="W6" s="37"/>
      <c r="X6" s="37"/>
    </row>
    <row r="7" spans="1:32" x14ac:dyDescent="0.25">
      <c r="B7" s="37"/>
      <c r="C7" s="37"/>
      <c r="D7" s="37"/>
      <c r="E7" s="59"/>
      <c r="F7" s="59"/>
      <c r="G7" s="37"/>
      <c r="H7" s="37"/>
      <c r="I7" s="37"/>
      <c r="J7" s="61"/>
      <c r="K7" s="61"/>
      <c r="L7" s="61"/>
      <c r="M7" s="37"/>
      <c r="N7" s="37"/>
      <c r="O7" s="37"/>
      <c r="P7" s="37"/>
      <c r="Q7" s="37"/>
      <c r="R7" s="37"/>
      <c r="S7" s="37"/>
      <c r="T7" s="37"/>
      <c r="U7" s="37"/>
      <c r="V7" s="37"/>
      <c r="W7" s="37"/>
      <c r="X7" s="37"/>
    </row>
    <row r="8" spans="1:32" x14ac:dyDescent="0.25">
      <c r="B8" s="37"/>
      <c r="C8" s="37"/>
      <c r="D8" s="37"/>
      <c r="E8" s="59"/>
      <c r="F8" s="59"/>
      <c r="G8" s="37"/>
      <c r="H8" s="37"/>
      <c r="I8" s="37"/>
      <c r="J8" s="61"/>
      <c r="K8" s="61"/>
      <c r="L8" s="61"/>
      <c r="M8" s="37"/>
      <c r="N8" s="37"/>
      <c r="O8" s="37"/>
      <c r="P8" s="37"/>
      <c r="Q8" s="37"/>
      <c r="R8" s="37"/>
      <c r="S8" s="37"/>
      <c r="T8" s="37"/>
      <c r="U8" s="37"/>
      <c r="V8" s="37"/>
      <c r="W8" s="37"/>
      <c r="X8" s="37"/>
    </row>
    <row r="9" spans="1:32" x14ac:dyDescent="0.25">
      <c r="B9" s="37"/>
      <c r="C9" s="37"/>
      <c r="D9" s="37"/>
      <c r="E9" s="59"/>
      <c r="F9" s="59"/>
      <c r="G9" s="37"/>
      <c r="H9" s="37"/>
      <c r="I9" s="37"/>
      <c r="J9" s="61"/>
      <c r="K9" s="61"/>
      <c r="L9" s="61"/>
      <c r="M9" s="37"/>
      <c r="N9" s="37"/>
      <c r="O9" s="37"/>
      <c r="P9" s="37"/>
      <c r="Q9" s="37"/>
      <c r="R9" s="37"/>
      <c r="S9" s="37"/>
      <c r="T9" s="37"/>
      <c r="U9" s="37"/>
      <c r="V9" s="37"/>
      <c r="W9" s="37"/>
      <c r="X9" s="37"/>
    </row>
    <row r="10" spans="1:32" x14ac:dyDescent="0.25">
      <c r="B10" s="37"/>
      <c r="C10" s="37"/>
      <c r="D10" s="37"/>
      <c r="E10" s="59"/>
      <c r="F10" s="59"/>
      <c r="G10" s="37"/>
      <c r="H10" s="37"/>
      <c r="I10" s="37"/>
      <c r="J10" s="61"/>
      <c r="K10" s="61"/>
      <c r="L10" s="61"/>
      <c r="M10" s="37"/>
      <c r="N10" s="37"/>
      <c r="O10" s="37"/>
      <c r="P10" s="37"/>
      <c r="Q10" s="37"/>
      <c r="R10" s="37"/>
      <c r="S10" s="37"/>
      <c r="T10" s="37"/>
      <c r="U10" s="37"/>
      <c r="V10" s="37"/>
      <c r="W10" s="37"/>
      <c r="X10" s="37"/>
    </row>
    <row r="11" spans="1:32" x14ac:dyDescent="0.25">
      <c r="B11" s="37"/>
      <c r="C11" s="37"/>
      <c r="D11" s="37"/>
      <c r="E11" s="59"/>
      <c r="F11" s="59"/>
      <c r="G11" s="37"/>
      <c r="H11" s="37"/>
      <c r="I11" s="37"/>
      <c r="J11" s="61"/>
      <c r="K11" s="61"/>
      <c r="L11" s="61"/>
      <c r="M11" s="37"/>
      <c r="N11" s="37"/>
      <c r="O11" s="37"/>
      <c r="P11" s="37"/>
      <c r="Q11" s="37"/>
      <c r="R11" s="37"/>
      <c r="S11" s="37"/>
      <c r="T11" s="37"/>
      <c r="U11" s="37"/>
      <c r="V11" s="37"/>
      <c r="W11" s="37"/>
      <c r="X11" s="37"/>
    </row>
    <row r="12" spans="1:32" x14ac:dyDescent="0.25">
      <c r="B12" s="37"/>
      <c r="C12" s="37"/>
      <c r="D12" s="37"/>
      <c r="E12" s="59"/>
      <c r="F12" s="59"/>
      <c r="G12" s="37"/>
      <c r="H12" s="37"/>
      <c r="I12" s="37"/>
      <c r="J12" s="61"/>
      <c r="K12" s="61"/>
      <c r="L12" s="61"/>
      <c r="M12" s="37"/>
      <c r="N12" s="37"/>
      <c r="O12" s="37"/>
      <c r="P12" s="37"/>
      <c r="Q12" s="37"/>
      <c r="R12" s="37"/>
      <c r="S12" s="37"/>
      <c r="T12" s="37"/>
      <c r="U12" s="37"/>
      <c r="V12" s="37"/>
      <c r="W12" s="37"/>
      <c r="X12" s="37"/>
    </row>
    <row r="13" spans="1:32" x14ac:dyDescent="0.25">
      <c r="B13" s="37"/>
      <c r="C13" s="37"/>
      <c r="D13" s="37"/>
      <c r="E13" s="59"/>
      <c r="F13" s="59"/>
      <c r="G13" s="37"/>
      <c r="H13" s="37"/>
      <c r="I13" s="37"/>
      <c r="J13" s="61"/>
      <c r="K13" s="61"/>
      <c r="L13" s="61"/>
      <c r="M13" s="37"/>
      <c r="N13" s="37"/>
      <c r="O13" s="37"/>
      <c r="P13" s="37"/>
      <c r="Q13" s="37"/>
      <c r="R13" s="37"/>
      <c r="S13" s="37"/>
      <c r="T13" s="37"/>
      <c r="U13" s="37"/>
      <c r="V13" s="37"/>
      <c r="W13" s="37"/>
      <c r="X13" s="37"/>
    </row>
    <row r="14" spans="1:32" s="40" customFormat="1" ht="49.5" customHeight="1" x14ac:dyDescent="0.3">
      <c r="B14" s="216" t="s">
        <v>24</v>
      </c>
      <c r="C14" s="216"/>
      <c r="D14" s="216"/>
      <c r="E14" s="216"/>
      <c r="F14" s="216"/>
      <c r="G14" s="216"/>
      <c r="H14" s="216"/>
      <c r="I14" s="216"/>
      <c r="J14" s="62"/>
      <c r="K14" s="62"/>
      <c r="L14" s="62"/>
      <c r="M14" s="39"/>
      <c r="N14" s="39"/>
      <c r="O14" s="39"/>
      <c r="P14" s="39"/>
      <c r="Q14" s="39"/>
      <c r="R14" s="39"/>
      <c r="S14" s="39"/>
      <c r="T14" s="39"/>
      <c r="U14" s="39"/>
      <c r="V14" s="39"/>
      <c r="W14" s="39"/>
      <c r="X14" s="39"/>
      <c r="Y14" s="39"/>
      <c r="Z14" s="39"/>
      <c r="AA14" s="39"/>
      <c r="AB14" s="39"/>
      <c r="AC14" s="39"/>
      <c r="AD14" s="39"/>
      <c r="AE14" s="39"/>
      <c r="AF14" s="39"/>
    </row>
    <row r="15" spans="1:32" s="40" customFormat="1" ht="123.75" customHeight="1" thickBot="1" x14ac:dyDescent="0.35">
      <c r="B15" s="65" t="s">
        <v>25</v>
      </c>
      <c r="C15" s="65" t="s">
        <v>6</v>
      </c>
      <c r="D15" s="66" t="s">
        <v>8</v>
      </c>
      <c r="E15" s="67" t="s">
        <v>26</v>
      </c>
      <c r="F15" s="67" t="s">
        <v>27</v>
      </c>
      <c r="G15" s="67" t="s">
        <v>28</v>
      </c>
      <c r="H15" s="68" t="s">
        <v>29</v>
      </c>
      <c r="I15" s="67" t="s">
        <v>30</v>
      </c>
      <c r="J15" s="62"/>
      <c r="K15" s="62"/>
      <c r="L15" s="62"/>
      <c r="M15" s="39"/>
      <c r="N15" s="39"/>
      <c r="O15" s="39"/>
      <c r="P15" s="39"/>
      <c r="Q15" s="39"/>
      <c r="R15" s="39"/>
      <c r="S15" s="39"/>
      <c r="T15" s="39"/>
      <c r="U15" s="39"/>
      <c r="V15" s="39"/>
      <c r="W15" s="39"/>
      <c r="X15" s="39"/>
      <c r="Y15" s="39"/>
      <c r="Z15" s="39"/>
      <c r="AA15" s="39"/>
      <c r="AB15" s="39"/>
      <c r="AC15" s="39"/>
      <c r="AD15" s="39"/>
      <c r="AE15" s="39"/>
      <c r="AF15" s="39"/>
    </row>
    <row r="16" spans="1:32" s="40" customFormat="1" ht="71.25" customHeight="1" x14ac:dyDescent="0.3">
      <c r="A16" s="84" t="str">
        <f>1&amp;E16</f>
        <v>1a</v>
      </c>
      <c r="B16" s="232" t="s">
        <v>31</v>
      </c>
      <c r="C16" s="242" t="s">
        <v>32</v>
      </c>
      <c r="D16" s="229" t="s">
        <v>33</v>
      </c>
      <c r="E16" s="69" t="s">
        <v>34</v>
      </c>
      <c r="F16" s="70" t="s">
        <v>35</v>
      </c>
      <c r="G16" s="92" t="s">
        <v>76</v>
      </c>
      <c r="H16" s="93" t="s">
        <v>227</v>
      </c>
      <c r="I16" s="85" t="str">
        <f>+IF(G16="Si","Mantenimiento del control",IF(G16="En proceso","Oportunidad de mejora","Deficiencia de control"))</f>
        <v>Oportunidad de mejora</v>
      </c>
      <c r="J16" s="86">
        <f t="shared" ref="J16:J27" si="0">+IF(G16="Si",20,IF(G16="En proceso",10,0))</f>
        <v>10</v>
      </c>
      <c r="K16" s="86">
        <v>0.123</v>
      </c>
      <c r="L16" s="86">
        <f>+J16+K16</f>
        <v>10.122999999999999</v>
      </c>
    </row>
    <row r="17" spans="1:32" s="40" customFormat="1" ht="75" customHeight="1" x14ac:dyDescent="0.3">
      <c r="A17" s="84" t="str">
        <f t="shared" ref="A17:A27" si="1">1&amp;E17</f>
        <v>1b</v>
      </c>
      <c r="B17" s="233"/>
      <c r="C17" s="243"/>
      <c r="D17" s="230"/>
      <c r="E17" s="71" t="s">
        <v>37</v>
      </c>
      <c r="F17" s="72" t="s">
        <v>38</v>
      </c>
      <c r="G17" s="94" t="s">
        <v>76</v>
      </c>
      <c r="H17" s="95" t="s">
        <v>228</v>
      </c>
      <c r="I17" s="87" t="str">
        <f t="shared" ref="I17:I59" si="2">+IF(G17="Si","Mantenimiento del control",IF(G17="En proceso","Oportunidad de mejora","Deficiencia de control"))</f>
        <v>Oportunidad de mejora</v>
      </c>
      <c r="J17" s="88">
        <f t="shared" si="0"/>
        <v>10</v>
      </c>
      <c r="K17" s="86">
        <v>0.1234</v>
      </c>
      <c r="L17" s="86">
        <f t="shared" ref="L17:L59" si="3">+J17+K17</f>
        <v>10.1234</v>
      </c>
    </row>
    <row r="18" spans="1:32" s="40" customFormat="1" ht="64.5" customHeight="1" x14ac:dyDescent="0.3">
      <c r="A18" s="84" t="str">
        <f t="shared" si="1"/>
        <v>1c</v>
      </c>
      <c r="B18" s="233"/>
      <c r="C18" s="243"/>
      <c r="D18" s="230"/>
      <c r="E18" s="71" t="s">
        <v>40</v>
      </c>
      <c r="F18" s="73" t="s">
        <v>41</v>
      </c>
      <c r="G18" s="94" t="s">
        <v>39</v>
      </c>
      <c r="H18" s="96" t="s">
        <v>229</v>
      </c>
      <c r="I18" s="89" t="str">
        <f t="shared" si="2"/>
        <v>Mantenimiento del control</v>
      </c>
      <c r="J18" s="88">
        <f t="shared" si="0"/>
        <v>20</v>
      </c>
      <c r="K18" s="86">
        <v>0.12345</v>
      </c>
      <c r="L18" s="86">
        <f t="shared" si="3"/>
        <v>20.123449999999998</v>
      </c>
    </row>
    <row r="19" spans="1:32" s="40" customFormat="1" ht="37.5" customHeight="1" x14ac:dyDescent="0.3">
      <c r="A19" s="84" t="str">
        <f t="shared" si="1"/>
        <v>1d</v>
      </c>
      <c r="B19" s="233"/>
      <c r="C19" s="243"/>
      <c r="D19" s="230"/>
      <c r="E19" s="71" t="s">
        <v>42</v>
      </c>
      <c r="F19" s="73" t="s">
        <v>43</v>
      </c>
      <c r="G19" s="94" t="s">
        <v>39</v>
      </c>
      <c r="H19" s="96" t="s">
        <v>192</v>
      </c>
      <c r="I19" s="89" t="str">
        <f t="shared" si="2"/>
        <v>Mantenimiento del control</v>
      </c>
      <c r="J19" s="88">
        <f t="shared" si="0"/>
        <v>20</v>
      </c>
      <c r="K19" s="86">
        <v>0.123456</v>
      </c>
      <c r="L19" s="86">
        <f t="shared" si="3"/>
        <v>20.123456000000001</v>
      </c>
    </row>
    <row r="20" spans="1:32" s="40" customFormat="1" ht="37.5" customHeight="1" x14ac:dyDescent="0.3">
      <c r="A20" s="84" t="str">
        <f t="shared" si="1"/>
        <v>1e</v>
      </c>
      <c r="B20" s="233"/>
      <c r="C20" s="243"/>
      <c r="D20" s="230"/>
      <c r="E20" s="71" t="s">
        <v>44</v>
      </c>
      <c r="F20" s="73" t="s">
        <v>45</v>
      </c>
      <c r="G20" s="94" t="s">
        <v>39</v>
      </c>
      <c r="H20" s="96" t="s">
        <v>186</v>
      </c>
      <c r="I20" s="89" t="str">
        <f t="shared" si="2"/>
        <v>Mantenimiento del control</v>
      </c>
      <c r="J20" s="88">
        <f t="shared" si="0"/>
        <v>20</v>
      </c>
      <c r="K20" s="86">
        <v>0.12345678</v>
      </c>
      <c r="L20" s="86">
        <f t="shared" si="3"/>
        <v>20.123456780000001</v>
      </c>
    </row>
    <row r="21" spans="1:32" s="40" customFormat="1" ht="112.2" customHeight="1" x14ac:dyDescent="0.3">
      <c r="A21" s="84" t="str">
        <f t="shared" si="1"/>
        <v>1f</v>
      </c>
      <c r="B21" s="233"/>
      <c r="C21" s="243"/>
      <c r="D21" s="230"/>
      <c r="E21" s="71" t="s">
        <v>46</v>
      </c>
      <c r="F21" s="73" t="s">
        <v>47</v>
      </c>
      <c r="G21" s="94" t="s">
        <v>76</v>
      </c>
      <c r="H21" s="325" t="s">
        <v>242</v>
      </c>
      <c r="I21" s="89" t="str">
        <f t="shared" si="2"/>
        <v>Oportunidad de mejora</v>
      </c>
      <c r="J21" s="88">
        <f t="shared" si="0"/>
        <v>10</v>
      </c>
      <c r="K21" s="86">
        <v>0.123456789</v>
      </c>
      <c r="L21" s="86">
        <f t="shared" si="3"/>
        <v>10.123456789</v>
      </c>
    </row>
    <row r="22" spans="1:32" s="40" customFormat="1" ht="65.25" customHeight="1" x14ac:dyDescent="0.3">
      <c r="A22" s="84" t="str">
        <f t="shared" si="1"/>
        <v>1g</v>
      </c>
      <c r="B22" s="233"/>
      <c r="C22" s="243"/>
      <c r="D22" s="230"/>
      <c r="E22" s="71" t="s">
        <v>48</v>
      </c>
      <c r="F22" s="73" t="s">
        <v>49</v>
      </c>
      <c r="G22" s="94" t="s">
        <v>39</v>
      </c>
      <c r="H22" s="325" t="s">
        <v>243</v>
      </c>
      <c r="I22" s="89" t="str">
        <f t="shared" si="2"/>
        <v>Mantenimiento del control</v>
      </c>
      <c r="J22" s="88">
        <f t="shared" si="0"/>
        <v>20</v>
      </c>
      <c r="K22" s="86">
        <v>0.12345678910000001</v>
      </c>
      <c r="L22" s="86">
        <f t="shared" si="3"/>
        <v>20.1234567891</v>
      </c>
    </row>
    <row r="23" spans="1:32" s="40" customFormat="1" ht="62.25" customHeight="1" x14ac:dyDescent="0.3">
      <c r="A23" s="84" t="str">
        <f t="shared" si="1"/>
        <v>1h</v>
      </c>
      <c r="B23" s="233"/>
      <c r="C23" s="243"/>
      <c r="D23" s="230"/>
      <c r="E23" s="71" t="s">
        <v>50</v>
      </c>
      <c r="F23" s="73" t="s">
        <v>51</v>
      </c>
      <c r="G23" s="94" t="s">
        <v>39</v>
      </c>
      <c r="H23" s="325" t="s">
        <v>230</v>
      </c>
      <c r="I23" s="89" t="str">
        <f t="shared" si="2"/>
        <v>Mantenimiento del control</v>
      </c>
      <c r="J23" s="88">
        <f t="shared" si="0"/>
        <v>20</v>
      </c>
      <c r="K23" s="86">
        <v>0.12345678911999999</v>
      </c>
      <c r="L23" s="86">
        <f t="shared" si="3"/>
        <v>20.123456789119999</v>
      </c>
    </row>
    <row r="24" spans="1:32" s="40" customFormat="1" ht="57.75" customHeight="1" x14ac:dyDescent="0.3">
      <c r="A24" s="84" t="str">
        <f t="shared" si="1"/>
        <v>1i</v>
      </c>
      <c r="B24" s="233"/>
      <c r="C24" s="243"/>
      <c r="D24" s="230"/>
      <c r="E24" s="71" t="s">
        <v>52</v>
      </c>
      <c r="F24" s="73" t="s">
        <v>53</v>
      </c>
      <c r="G24" s="94" t="s">
        <v>39</v>
      </c>
      <c r="H24" s="325" t="s">
        <v>244</v>
      </c>
      <c r="I24" s="89" t="str">
        <f t="shared" si="2"/>
        <v>Mantenimiento del control</v>
      </c>
      <c r="J24" s="88">
        <f t="shared" si="0"/>
        <v>20</v>
      </c>
      <c r="K24" s="86">
        <v>0.123456789123</v>
      </c>
      <c r="L24" s="86">
        <f t="shared" si="3"/>
        <v>20.123456789123001</v>
      </c>
    </row>
    <row r="25" spans="1:32" s="40" customFormat="1" ht="52.5" customHeight="1" x14ac:dyDescent="0.3">
      <c r="A25" s="84" t="str">
        <f t="shared" si="1"/>
        <v>1j</v>
      </c>
      <c r="B25" s="233"/>
      <c r="C25" s="243"/>
      <c r="D25" s="230"/>
      <c r="E25" s="71" t="s">
        <v>54</v>
      </c>
      <c r="F25" s="73" t="s">
        <v>55</v>
      </c>
      <c r="G25" s="94" t="s">
        <v>36</v>
      </c>
      <c r="H25" s="96" t="s">
        <v>187</v>
      </c>
      <c r="I25" s="89" t="str">
        <f t="shared" si="2"/>
        <v>Deficiencia de control</v>
      </c>
      <c r="J25" s="88">
        <f t="shared" si="0"/>
        <v>0</v>
      </c>
      <c r="K25" s="86">
        <v>0.1234567891234</v>
      </c>
      <c r="L25" s="86">
        <f t="shared" si="3"/>
        <v>0.1234567891234</v>
      </c>
    </row>
    <row r="26" spans="1:32" s="40" customFormat="1" ht="44.25" customHeight="1" x14ac:dyDescent="0.3">
      <c r="A26" s="84" t="str">
        <f t="shared" si="1"/>
        <v>1k</v>
      </c>
      <c r="B26" s="233"/>
      <c r="C26" s="243"/>
      <c r="D26" s="230"/>
      <c r="E26" s="71" t="s">
        <v>56</v>
      </c>
      <c r="F26" s="73" t="s">
        <v>57</v>
      </c>
      <c r="G26" s="94" t="s">
        <v>39</v>
      </c>
      <c r="H26" s="96" t="s">
        <v>188</v>
      </c>
      <c r="I26" s="89" t="str">
        <f t="shared" si="2"/>
        <v>Mantenimiento del control</v>
      </c>
      <c r="J26" s="88">
        <f t="shared" si="0"/>
        <v>20</v>
      </c>
      <c r="K26" s="86">
        <v>0.12345678912345</v>
      </c>
      <c r="L26" s="86">
        <f t="shared" si="3"/>
        <v>20.123456789123448</v>
      </c>
    </row>
    <row r="27" spans="1:32" s="40" customFormat="1" ht="59.4" customHeight="1" thickBot="1" x14ac:dyDescent="0.35">
      <c r="A27" s="84" t="str">
        <f t="shared" si="1"/>
        <v>1l</v>
      </c>
      <c r="B27" s="234"/>
      <c r="C27" s="244"/>
      <c r="D27" s="231"/>
      <c r="E27" s="74" t="s">
        <v>58</v>
      </c>
      <c r="F27" s="75" t="s">
        <v>59</v>
      </c>
      <c r="G27" s="97" t="s">
        <v>39</v>
      </c>
      <c r="H27" s="325" t="s">
        <v>245</v>
      </c>
      <c r="I27" s="90" t="str">
        <f t="shared" si="2"/>
        <v>Mantenimiento del control</v>
      </c>
      <c r="J27" s="88">
        <f t="shared" si="0"/>
        <v>20</v>
      </c>
      <c r="K27" s="86">
        <v>0.12345678912345601</v>
      </c>
      <c r="L27" s="86">
        <f t="shared" si="3"/>
        <v>20.123456789123455</v>
      </c>
    </row>
    <row r="28" spans="1:32" s="40" customFormat="1" ht="55.5" customHeight="1" thickBot="1" x14ac:dyDescent="0.35">
      <c r="A28" s="84" t="str">
        <f>2&amp;E28</f>
        <v>2a</v>
      </c>
      <c r="B28" s="235" t="s">
        <v>60</v>
      </c>
      <c r="C28" s="245" t="s">
        <v>61</v>
      </c>
      <c r="D28" s="238" t="s">
        <v>62</v>
      </c>
      <c r="E28" s="69" t="s">
        <v>34</v>
      </c>
      <c r="F28" s="70" t="s">
        <v>63</v>
      </c>
      <c r="G28" s="92" t="s">
        <v>39</v>
      </c>
      <c r="H28" s="93" t="s">
        <v>231</v>
      </c>
      <c r="I28" s="85" t="str">
        <f t="shared" si="2"/>
        <v>Mantenimiento del control</v>
      </c>
      <c r="J28" s="86">
        <f>+IF(G28="Si",40,IF(G28="En proceso",30,20))</f>
        <v>40</v>
      </c>
      <c r="K28" s="86">
        <v>0.23</v>
      </c>
      <c r="L28" s="86">
        <f t="shared" si="3"/>
        <v>40.229999999999997</v>
      </c>
    </row>
    <row r="29" spans="1:32" s="40" customFormat="1" ht="63.6" customHeight="1" x14ac:dyDescent="0.3">
      <c r="A29" s="84" t="str">
        <f t="shared" ref="A29:A31" si="4">2&amp;E29</f>
        <v>2b</v>
      </c>
      <c r="B29" s="236"/>
      <c r="C29" s="246"/>
      <c r="D29" s="239"/>
      <c r="E29" s="71" t="s">
        <v>37</v>
      </c>
      <c r="F29" s="73" t="s">
        <v>64</v>
      </c>
      <c r="G29" s="94" t="s">
        <v>39</v>
      </c>
      <c r="H29" s="93" t="s">
        <v>232</v>
      </c>
      <c r="I29" s="89" t="str">
        <f t="shared" si="2"/>
        <v>Mantenimiento del control</v>
      </c>
      <c r="J29" s="86">
        <f>+IF(G29="Si",40,IF(G29="En proceso",30,20))</f>
        <v>40</v>
      </c>
      <c r="K29" s="86">
        <v>0.23400000000000001</v>
      </c>
      <c r="L29" s="86">
        <f t="shared" si="3"/>
        <v>40.234000000000002</v>
      </c>
    </row>
    <row r="30" spans="1:32" s="40" customFormat="1" ht="46.8" x14ac:dyDescent="0.3">
      <c r="A30" s="84" t="str">
        <f t="shared" si="4"/>
        <v>2c</v>
      </c>
      <c r="B30" s="236"/>
      <c r="C30" s="246"/>
      <c r="D30" s="239"/>
      <c r="E30" s="71" t="s">
        <v>40</v>
      </c>
      <c r="F30" s="73" t="s">
        <v>65</v>
      </c>
      <c r="G30" s="94" t="s">
        <v>76</v>
      </c>
      <c r="H30" s="325" t="s">
        <v>246</v>
      </c>
      <c r="I30" s="89" t="str">
        <f t="shared" si="2"/>
        <v>Oportunidad de mejora</v>
      </c>
      <c r="J30" s="86">
        <f>+IF(G30="Si",40,IF(G30="En proceso",30,20))</f>
        <v>30</v>
      </c>
      <c r="K30" s="86">
        <v>0.23449999999999999</v>
      </c>
      <c r="L30" s="86">
        <f t="shared" si="3"/>
        <v>30.234500000000001</v>
      </c>
    </row>
    <row r="31" spans="1:32" s="40" customFormat="1" ht="55.8" thickBot="1" x14ac:dyDescent="0.35">
      <c r="A31" s="84" t="str">
        <f t="shared" si="4"/>
        <v>2d</v>
      </c>
      <c r="B31" s="237"/>
      <c r="C31" s="247"/>
      <c r="D31" s="240"/>
      <c r="E31" s="74" t="s">
        <v>42</v>
      </c>
      <c r="F31" s="75" t="s">
        <v>66</v>
      </c>
      <c r="G31" s="97" t="s">
        <v>76</v>
      </c>
      <c r="H31" s="96" t="s">
        <v>247</v>
      </c>
      <c r="I31" s="90" t="str">
        <f t="shared" si="2"/>
        <v>Oportunidad de mejora</v>
      </c>
      <c r="J31" s="86">
        <f>+IF(G31="Si",40,IF(G31="En proceso",30,20))</f>
        <v>30</v>
      </c>
      <c r="K31" s="86">
        <v>0.23455999999999999</v>
      </c>
      <c r="L31" s="86">
        <f t="shared" si="3"/>
        <v>30.234559999999998</v>
      </c>
    </row>
    <row r="32" spans="1:32" s="40" customFormat="1" ht="49.5" customHeight="1" x14ac:dyDescent="0.3">
      <c r="A32" s="84" t="str">
        <f>3&amp;E32</f>
        <v>3a</v>
      </c>
      <c r="B32" s="257" t="s">
        <v>67</v>
      </c>
      <c r="C32" s="257" t="s">
        <v>61</v>
      </c>
      <c r="D32" s="258" t="s">
        <v>68</v>
      </c>
      <c r="E32" s="71" t="s">
        <v>34</v>
      </c>
      <c r="F32" s="73" t="s">
        <v>69</v>
      </c>
      <c r="G32" s="94" t="s">
        <v>76</v>
      </c>
      <c r="H32" s="96" t="s">
        <v>248</v>
      </c>
      <c r="I32" s="89" t="str">
        <f t="shared" si="2"/>
        <v>Oportunidad de mejora</v>
      </c>
      <c r="J32" s="86">
        <f t="shared" ref="J32:J37" si="5">+IF(G32="Si",40,IF(G32="En proceso",30,20))</f>
        <v>30</v>
      </c>
      <c r="K32" s="91">
        <v>0.234567</v>
      </c>
      <c r="L32" s="86">
        <f t="shared" ref="L32:L37" si="6">+J32+K32</f>
        <v>30.234566999999998</v>
      </c>
      <c r="M32" s="39"/>
      <c r="N32" s="39"/>
      <c r="O32" s="39"/>
      <c r="P32" s="39"/>
      <c r="Q32" s="39"/>
      <c r="R32" s="39"/>
      <c r="S32" s="39"/>
      <c r="T32" s="39"/>
      <c r="U32" s="39"/>
      <c r="V32" s="39"/>
      <c r="W32" s="39"/>
      <c r="X32" s="39"/>
      <c r="Y32" s="39"/>
      <c r="Z32" s="39"/>
      <c r="AA32" s="39"/>
      <c r="AB32" s="39"/>
      <c r="AC32" s="39"/>
      <c r="AD32" s="39"/>
      <c r="AE32" s="39"/>
      <c r="AF32" s="39"/>
    </row>
    <row r="33" spans="1:32" s="40" customFormat="1" ht="49.5" customHeight="1" x14ac:dyDescent="0.3">
      <c r="A33" s="84" t="str">
        <f t="shared" ref="A33:A34" si="7">3&amp;E33</f>
        <v>3b</v>
      </c>
      <c r="B33" s="257"/>
      <c r="C33" s="257"/>
      <c r="D33" s="258"/>
      <c r="E33" s="71" t="s">
        <v>37</v>
      </c>
      <c r="F33" s="73" t="s">
        <v>70</v>
      </c>
      <c r="G33" s="94" t="s">
        <v>76</v>
      </c>
      <c r="H33" s="325" t="s">
        <v>233</v>
      </c>
      <c r="I33" s="89" t="str">
        <f t="shared" si="2"/>
        <v>Oportunidad de mejora</v>
      </c>
      <c r="J33" s="86">
        <f t="shared" si="5"/>
        <v>30</v>
      </c>
      <c r="K33" s="91">
        <v>0.23456779999999999</v>
      </c>
      <c r="L33" s="86">
        <f t="shared" si="6"/>
        <v>30.234567800000001</v>
      </c>
      <c r="M33" s="39"/>
      <c r="N33" s="39"/>
      <c r="O33" s="39"/>
      <c r="P33" s="39"/>
      <c r="Q33" s="39"/>
      <c r="R33" s="39"/>
      <c r="S33" s="39"/>
      <c r="T33" s="39"/>
      <c r="U33" s="39"/>
      <c r="V33" s="39"/>
      <c r="W33" s="39"/>
      <c r="X33" s="39"/>
      <c r="Y33" s="39"/>
      <c r="Z33" s="39"/>
      <c r="AA33" s="39"/>
      <c r="AB33" s="39"/>
      <c r="AC33" s="39"/>
      <c r="AD33" s="39"/>
      <c r="AE33" s="39"/>
      <c r="AF33" s="39"/>
    </row>
    <row r="34" spans="1:32" s="40" customFormat="1" ht="66" customHeight="1" thickBot="1" x14ac:dyDescent="0.35">
      <c r="A34" s="84" t="str">
        <f t="shared" si="7"/>
        <v>3c</v>
      </c>
      <c r="B34" s="257"/>
      <c r="C34" s="257"/>
      <c r="D34" s="258"/>
      <c r="E34" s="71" t="s">
        <v>40</v>
      </c>
      <c r="F34" s="73" t="s">
        <v>71</v>
      </c>
      <c r="G34" s="94" t="s">
        <v>76</v>
      </c>
      <c r="H34" s="96" t="s">
        <v>234</v>
      </c>
      <c r="I34" s="89" t="str">
        <f t="shared" si="2"/>
        <v>Oportunidad de mejora</v>
      </c>
      <c r="J34" s="86">
        <f t="shared" si="5"/>
        <v>30</v>
      </c>
      <c r="K34" s="91">
        <v>0.23456789</v>
      </c>
      <c r="L34" s="86">
        <f t="shared" si="6"/>
        <v>30.234567890000001</v>
      </c>
      <c r="M34" s="39"/>
      <c r="N34" s="39"/>
      <c r="O34" s="39"/>
      <c r="P34" s="39"/>
      <c r="Q34" s="39"/>
      <c r="R34" s="39"/>
      <c r="S34" s="39"/>
      <c r="T34" s="39"/>
      <c r="U34" s="39"/>
      <c r="V34" s="39"/>
      <c r="W34" s="39"/>
      <c r="X34" s="39"/>
      <c r="Y34" s="39"/>
      <c r="Z34" s="39"/>
      <c r="AA34" s="39"/>
      <c r="AB34" s="39"/>
      <c r="AC34" s="39"/>
      <c r="AD34" s="39"/>
      <c r="AE34" s="39"/>
      <c r="AF34" s="39"/>
    </row>
    <row r="35" spans="1:32" s="40" customFormat="1" ht="87" customHeight="1" thickBot="1" x14ac:dyDescent="0.35">
      <c r="A35" s="84" t="str">
        <f>4&amp;E35</f>
        <v>4a</v>
      </c>
      <c r="B35" s="259" t="s">
        <v>72</v>
      </c>
      <c r="C35" s="246" t="s">
        <v>61</v>
      </c>
      <c r="D35" s="239" t="s">
        <v>73</v>
      </c>
      <c r="E35" s="69" t="s">
        <v>34</v>
      </c>
      <c r="F35" s="70" t="s">
        <v>74</v>
      </c>
      <c r="G35" s="92" t="s">
        <v>36</v>
      </c>
      <c r="H35" s="326" t="s">
        <v>189</v>
      </c>
      <c r="I35" s="85" t="str">
        <f t="shared" si="2"/>
        <v>Deficiencia de control</v>
      </c>
      <c r="J35" s="86">
        <f t="shared" si="5"/>
        <v>20</v>
      </c>
      <c r="K35" s="91">
        <v>0.23456789119999999</v>
      </c>
      <c r="L35" s="86">
        <f t="shared" si="6"/>
        <v>20.234567891200001</v>
      </c>
      <c r="M35" s="39"/>
      <c r="N35" s="39"/>
      <c r="O35" s="39"/>
      <c r="P35" s="39"/>
      <c r="Q35" s="39"/>
    </row>
    <row r="36" spans="1:32" s="40" customFormat="1" ht="87" customHeight="1" thickBot="1" x14ac:dyDescent="0.35">
      <c r="A36" s="84" t="str">
        <f t="shared" ref="A36:A37" si="8">4&amp;E36</f>
        <v>4b</v>
      </c>
      <c r="B36" s="259"/>
      <c r="C36" s="246"/>
      <c r="D36" s="239"/>
      <c r="E36" s="71" t="s">
        <v>37</v>
      </c>
      <c r="F36" s="73" t="s">
        <v>75</v>
      </c>
      <c r="G36" s="94" t="s">
        <v>36</v>
      </c>
      <c r="H36" s="326" t="s">
        <v>189</v>
      </c>
      <c r="I36" s="89" t="str">
        <f t="shared" si="2"/>
        <v>Deficiencia de control</v>
      </c>
      <c r="J36" s="86">
        <f t="shared" si="5"/>
        <v>20</v>
      </c>
      <c r="K36" s="91">
        <v>0.23456789122999999</v>
      </c>
      <c r="L36" s="86">
        <f t="shared" si="6"/>
        <v>20.23456789123</v>
      </c>
      <c r="M36" s="39"/>
      <c r="N36" s="39"/>
      <c r="O36" s="39"/>
      <c r="P36" s="39"/>
      <c r="Q36" s="39"/>
    </row>
    <row r="37" spans="1:32" s="40" customFormat="1" ht="87" customHeight="1" thickBot="1" x14ac:dyDescent="0.35">
      <c r="A37" s="84" t="str">
        <f t="shared" si="8"/>
        <v>4c</v>
      </c>
      <c r="B37" s="259"/>
      <c r="C37" s="246"/>
      <c r="D37" s="239"/>
      <c r="E37" s="71" t="s">
        <v>40</v>
      </c>
      <c r="F37" s="73" t="s">
        <v>77</v>
      </c>
      <c r="G37" s="94" t="s">
        <v>39</v>
      </c>
      <c r="H37" s="326" t="s">
        <v>203</v>
      </c>
      <c r="I37" s="89" t="str">
        <f t="shared" si="2"/>
        <v>Mantenimiento del control</v>
      </c>
      <c r="J37" s="86">
        <f t="shared" si="5"/>
        <v>40</v>
      </c>
      <c r="K37" s="91">
        <v>0.23456789123399999</v>
      </c>
      <c r="L37" s="86">
        <f t="shared" si="6"/>
        <v>40.234567891234001</v>
      </c>
      <c r="M37" s="39"/>
      <c r="N37" s="39"/>
      <c r="O37" s="39"/>
      <c r="P37" s="39"/>
      <c r="Q37" s="39"/>
    </row>
    <row r="38" spans="1:32" s="40" customFormat="1" ht="85.5" customHeight="1" x14ac:dyDescent="0.3">
      <c r="A38" s="84" t="str">
        <f>5&amp;E38</f>
        <v>5a</v>
      </c>
      <c r="B38" s="260" t="s">
        <v>78</v>
      </c>
      <c r="C38" s="248" t="s">
        <v>79</v>
      </c>
      <c r="D38" s="263" t="s">
        <v>80</v>
      </c>
      <c r="E38" s="69" t="s">
        <v>34</v>
      </c>
      <c r="F38" s="70" t="s">
        <v>81</v>
      </c>
      <c r="G38" s="92" t="s">
        <v>76</v>
      </c>
      <c r="H38" s="96" t="s">
        <v>236</v>
      </c>
      <c r="I38" s="85" t="str">
        <f t="shared" si="2"/>
        <v>Oportunidad de mejora</v>
      </c>
      <c r="J38" s="86">
        <f>+IF(G38="Si",60,IF(G38="En proceso",50,40))</f>
        <v>50</v>
      </c>
      <c r="K38" s="86">
        <v>0.31</v>
      </c>
      <c r="L38" s="86">
        <f t="shared" si="3"/>
        <v>50.31</v>
      </c>
    </row>
    <row r="39" spans="1:32" s="40" customFormat="1" ht="69" x14ac:dyDescent="0.3">
      <c r="A39" s="84" t="str">
        <f t="shared" ref="A39:A42" si="9">5&amp;E39</f>
        <v>5b</v>
      </c>
      <c r="B39" s="261"/>
      <c r="C39" s="249"/>
      <c r="D39" s="264"/>
      <c r="E39" s="71" t="s">
        <v>37</v>
      </c>
      <c r="F39" s="73" t="s">
        <v>82</v>
      </c>
      <c r="G39" s="94" t="s">
        <v>76</v>
      </c>
      <c r="H39" s="96" t="s">
        <v>236</v>
      </c>
      <c r="I39" s="89" t="str">
        <f t="shared" si="2"/>
        <v>Oportunidad de mejora</v>
      </c>
      <c r="J39" s="86">
        <f>+IF(G39="Si",60,IF(G39="En proceso",50,40))</f>
        <v>50</v>
      </c>
      <c r="K39" s="86">
        <v>0.32300000000000001</v>
      </c>
      <c r="L39" s="86">
        <f t="shared" si="3"/>
        <v>50.323</v>
      </c>
    </row>
    <row r="40" spans="1:32" s="40" customFormat="1" ht="46.8" x14ac:dyDescent="0.3">
      <c r="A40" s="84" t="str">
        <f t="shared" si="9"/>
        <v>5c</v>
      </c>
      <c r="B40" s="261"/>
      <c r="C40" s="249"/>
      <c r="D40" s="264"/>
      <c r="E40" s="71" t="s">
        <v>40</v>
      </c>
      <c r="F40" s="73" t="s">
        <v>83</v>
      </c>
      <c r="G40" s="94" t="s">
        <v>39</v>
      </c>
      <c r="H40" s="96" t="s">
        <v>204</v>
      </c>
      <c r="I40" s="89" t="str">
        <f t="shared" si="2"/>
        <v>Mantenimiento del control</v>
      </c>
      <c r="J40" s="86">
        <f>+IF(G40="Si",60,IF(G40="En proceso",50,40))</f>
        <v>60</v>
      </c>
      <c r="K40" s="86">
        <v>0.32400000000000001</v>
      </c>
      <c r="L40" s="86">
        <f t="shared" si="3"/>
        <v>60.323999999999998</v>
      </c>
    </row>
    <row r="41" spans="1:32" s="40" customFormat="1" ht="93.6" x14ac:dyDescent="0.3">
      <c r="A41" s="84" t="str">
        <f t="shared" si="9"/>
        <v>5d</v>
      </c>
      <c r="B41" s="261"/>
      <c r="C41" s="249"/>
      <c r="D41" s="264"/>
      <c r="E41" s="71" t="s">
        <v>42</v>
      </c>
      <c r="F41" s="73" t="s">
        <v>84</v>
      </c>
      <c r="G41" s="94" t="s">
        <v>76</v>
      </c>
      <c r="H41" s="96" t="s">
        <v>236</v>
      </c>
      <c r="I41" s="89" t="str">
        <f t="shared" si="2"/>
        <v>Oportunidad de mejora</v>
      </c>
      <c r="J41" s="86">
        <f>+IF(G41="Si",60,IF(G41="En proceso",50,40))</f>
        <v>50</v>
      </c>
      <c r="K41" s="86">
        <v>0.32500000000000001</v>
      </c>
      <c r="L41" s="86">
        <f t="shared" si="3"/>
        <v>50.325000000000003</v>
      </c>
    </row>
    <row r="42" spans="1:32" s="40" customFormat="1" ht="47.4" thickBot="1" x14ac:dyDescent="0.35">
      <c r="A42" s="84" t="str">
        <f t="shared" si="9"/>
        <v>5e</v>
      </c>
      <c r="B42" s="262"/>
      <c r="C42" s="250"/>
      <c r="D42" s="265"/>
      <c r="E42" s="74" t="s">
        <v>44</v>
      </c>
      <c r="F42" s="75" t="s">
        <v>85</v>
      </c>
      <c r="G42" s="97" t="s">
        <v>39</v>
      </c>
      <c r="H42" s="98" t="s">
        <v>205</v>
      </c>
      <c r="I42" s="90" t="str">
        <f t="shared" si="2"/>
        <v>Mantenimiento del control</v>
      </c>
      <c r="J42" s="86">
        <f>+IF(G42="Si",60,IF(G42="En proceso",50,40))</f>
        <v>60</v>
      </c>
      <c r="K42" s="86">
        <v>0.32600000000000001</v>
      </c>
      <c r="L42" s="86">
        <f t="shared" si="3"/>
        <v>60.326000000000001</v>
      </c>
    </row>
    <row r="43" spans="1:32" s="40" customFormat="1" ht="46.2" customHeight="1" x14ac:dyDescent="0.3">
      <c r="A43" s="84" t="str">
        <f>6&amp;E43</f>
        <v>6a</v>
      </c>
      <c r="B43" s="220" t="s">
        <v>86</v>
      </c>
      <c r="C43" s="251" t="s">
        <v>87</v>
      </c>
      <c r="D43" s="217" t="s">
        <v>88</v>
      </c>
      <c r="E43" s="69" t="s">
        <v>34</v>
      </c>
      <c r="F43" s="70" t="s">
        <v>89</v>
      </c>
      <c r="G43" s="92" t="s">
        <v>76</v>
      </c>
      <c r="H43" s="93" t="s">
        <v>249</v>
      </c>
      <c r="I43" s="85" t="str">
        <f t="shared" si="2"/>
        <v>Oportunidad de mejora</v>
      </c>
      <c r="J43" s="86">
        <f t="shared" ref="J43:J49" si="10">+IF(G43="Si",80,IF(G43="En proceso",70,60))</f>
        <v>70</v>
      </c>
      <c r="K43" s="86">
        <v>0.41199999999999998</v>
      </c>
      <c r="L43" s="86">
        <f t="shared" si="3"/>
        <v>70.412000000000006</v>
      </c>
    </row>
    <row r="44" spans="1:32" s="40" customFormat="1" ht="64.5" customHeight="1" x14ac:dyDescent="0.3">
      <c r="A44" s="84" t="str">
        <f t="shared" ref="A44:A49" si="11">6&amp;E44</f>
        <v>6b</v>
      </c>
      <c r="B44" s="221"/>
      <c r="C44" s="252"/>
      <c r="D44" s="218"/>
      <c r="E44" s="71" t="s">
        <v>37</v>
      </c>
      <c r="F44" s="73" t="s">
        <v>90</v>
      </c>
      <c r="G44" s="94" t="s">
        <v>76</v>
      </c>
      <c r="H44" s="96" t="s">
        <v>237</v>
      </c>
      <c r="I44" s="89" t="str">
        <f t="shared" si="2"/>
        <v>Oportunidad de mejora</v>
      </c>
      <c r="J44" s="86">
        <f t="shared" si="10"/>
        <v>70</v>
      </c>
      <c r="K44" s="86">
        <v>0.4123</v>
      </c>
      <c r="L44" s="86">
        <f t="shared" si="3"/>
        <v>70.412300000000002</v>
      </c>
    </row>
    <row r="45" spans="1:32" s="40" customFormat="1" ht="60" customHeight="1" x14ac:dyDescent="0.3">
      <c r="A45" s="84" t="str">
        <f t="shared" si="11"/>
        <v>6c</v>
      </c>
      <c r="B45" s="221"/>
      <c r="C45" s="252"/>
      <c r="D45" s="218"/>
      <c r="E45" s="71" t="s">
        <v>40</v>
      </c>
      <c r="F45" s="73" t="s">
        <v>91</v>
      </c>
      <c r="G45" s="94" t="s">
        <v>39</v>
      </c>
      <c r="H45" s="96" t="s">
        <v>190</v>
      </c>
      <c r="I45" s="89" t="str">
        <f t="shared" si="2"/>
        <v>Mantenimiento del control</v>
      </c>
      <c r="J45" s="86">
        <f t="shared" si="10"/>
        <v>80</v>
      </c>
      <c r="K45" s="86">
        <v>0.41233999999999998</v>
      </c>
      <c r="L45" s="86">
        <f t="shared" si="3"/>
        <v>80.41234</v>
      </c>
    </row>
    <row r="46" spans="1:32" s="40" customFormat="1" ht="31.2" x14ac:dyDescent="0.3">
      <c r="A46" s="84" t="str">
        <f t="shared" si="11"/>
        <v>6d</v>
      </c>
      <c r="B46" s="221"/>
      <c r="C46" s="252"/>
      <c r="D46" s="218"/>
      <c r="E46" s="71" t="s">
        <v>42</v>
      </c>
      <c r="F46" s="73" t="s">
        <v>92</v>
      </c>
      <c r="G46" s="94" t="s">
        <v>39</v>
      </c>
      <c r="H46" s="96" t="s">
        <v>250</v>
      </c>
      <c r="I46" s="89" t="str">
        <f t="shared" si="2"/>
        <v>Mantenimiento del control</v>
      </c>
      <c r="J46" s="86">
        <f t="shared" si="10"/>
        <v>80</v>
      </c>
      <c r="K46" s="86">
        <v>0.41234500000000002</v>
      </c>
      <c r="L46" s="86">
        <f t="shared" si="3"/>
        <v>80.412345000000002</v>
      </c>
    </row>
    <row r="47" spans="1:32" s="40" customFormat="1" ht="62.4" x14ac:dyDescent="0.3">
      <c r="A47" s="84" t="str">
        <f t="shared" si="11"/>
        <v>6e</v>
      </c>
      <c r="B47" s="221"/>
      <c r="C47" s="252"/>
      <c r="D47" s="218"/>
      <c r="E47" s="71" t="s">
        <v>44</v>
      </c>
      <c r="F47" s="73" t="s">
        <v>93</v>
      </c>
      <c r="G47" s="94" t="s">
        <v>76</v>
      </c>
      <c r="H47" s="96" t="s">
        <v>238</v>
      </c>
      <c r="I47" s="89" t="str">
        <f t="shared" si="2"/>
        <v>Oportunidad de mejora</v>
      </c>
      <c r="J47" s="86">
        <f t="shared" si="10"/>
        <v>70</v>
      </c>
      <c r="K47" s="86">
        <v>0.41234559999999998</v>
      </c>
      <c r="L47" s="86">
        <f t="shared" si="3"/>
        <v>70.412345599999995</v>
      </c>
    </row>
    <row r="48" spans="1:32" s="40" customFormat="1" ht="84.6" customHeight="1" x14ac:dyDescent="0.3">
      <c r="A48" s="84" t="str">
        <f t="shared" si="11"/>
        <v>6f</v>
      </c>
      <c r="B48" s="221"/>
      <c r="C48" s="252"/>
      <c r="D48" s="218"/>
      <c r="E48" s="71" t="s">
        <v>46</v>
      </c>
      <c r="F48" s="73" t="s">
        <v>94</v>
      </c>
      <c r="G48" s="94" t="s">
        <v>76</v>
      </c>
      <c r="H48" s="96" t="s">
        <v>239</v>
      </c>
      <c r="I48" s="89" t="str">
        <f t="shared" si="2"/>
        <v>Oportunidad de mejora</v>
      </c>
      <c r="J48" s="86">
        <f t="shared" si="10"/>
        <v>70</v>
      </c>
      <c r="K48" s="86">
        <v>0.41234567</v>
      </c>
      <c r="L48" s="86">
        <f t="shared" si="3"/>
        <v>70.412345669999993</v>
      </c>
    </row>
    <row r="49" spans="1:17" s="40" customFormat="1" ht="105" customHeight="1" thickBot="1" x14ac:dyDescent="0.35">
      <c r="A49" s="84" t="str">
        <f t="shared" si="11"/>
        <v>6g</v>
      </c>
      <c r="B49" s="222"/>
      <c r="C49" s="253"/>
      <c r="D49" s="219"/>
      <c r="E49" s="74" t="s">
        <v>48</v>
      </c>
      <c r="F49" s="75" t="s">
        <v>95</v>
      </c>
      <c r="G49" s="97" t="s">
        <v>76</v>
      </c>
      <c r="H49" s="98" t="s">
        <v>240</v>
      </c>
      <c r="I49" s="90" t="str">
        <f t="shared" si="2"/>
        <v>Oportunidad de mejora</v>
      </c>
      <c r="J49" s="86">
        <f t="shared" si="10"/>
        <v>70</v>
      </c>
      <c r="K49" s="86">
        <v>0.41234567799999999</v>
      </c>
      <c r="L49" s="86">
        <f t="shared" si="3"/>
        <v>70.412345677999994</v>
      </c>
    </row>
    <row r="50" spans="1:17" s="40" customFormat="1" ht="54.75" customHeight="1" x14ac:dyDescent="0.3">
      <c r="A50" s="84" t="str">
        <f>7&amp;E50</f>
        <v>7a</v>
      </c>
      <c r="B50" s="226" t="s">
        <v>96</v>
      </c>
      <c r="C50" s="254" t="s">
        <v>97</v>
      </c>
      <c r="D50" s="223" t="s">
        <v>98</v>
      </c>
      <c r="E50" s="69" t="s">
        <v>34</v>
      </c>
      <c r="F50" s="70" t="s">
        <v>99</v>
      </c>
      <c r="G50" s="92" t="s">
        <v>39</v>
      </c>
      <c r="H50" s="93" t="s">
        <v>252</v>
      </c>
      <c r="I50" s="85" t="str">
        <f t="shared" si="2"/>
        <v>Mantenimiento del control</v>
      </c>
      <c r="J50" s="86">
        <f>+IF(G50="Si",120,IF(G50="En proceso",100,80))</f>
        <v>120</v>
      </c>
      <c r="K50" s="86">
        <v>0.85099999999999998</v>
      </c>
      <c r="L50" s="86">
        <f t="shared" si="3"/>
        <v>120.851</v>
      </c>
    </row>
    <row r="51" spans="1:17" s="40" customFormat="1" ht="79.8" customHeight="1" x14ac:dyDescent="0.3">
      <c r="A51" s="84" t="str">
        <f t="shared" ref="A51:A53" si="12">7&amp;E51</f>
        <v>7d</v>
      </c>
      <c r="B51" s="227"/>
      <c r="C51" s="255"/>
      <c r="D51" s="224"/>
      <c r="E51" s="71" t="s">
        <v>42</v>
      </c>
      <c r="F51" s="73" t="s">
        <v>100</v>
      </c>
      <c r="G51" s="94" t="s">
        <v>39</v>
      </c>
      <c r="H51" s="96" t="s">
        <v>235</v>
      </c>
      <c r="I51" s="89" t="str">
        <f t="shared" si="2"/>
        <v>Mantenimiento del control</v>
      </c>
      <c r="J51" s="86">
        <f t="shared" ref="J51:J59" si="13">+IF(G51="Si",120,IF(G51="En proceso",100,80))</f>
        <v>120</v>
      </c>
      <c r="K51" s="86">
        <v>0.85119999999999996</v>
      </c>
      <c r="L51" s="86">
        <f t="shared" si="3"/>
        <v>120.85120000000001</v>
      </c>
    </row>
    <row r="52" spans="1:17" s="40" customFormat="1" ht="46.8" x14ac:dyDescent="0.3">
      <c r="A52" s="84" t="str">
        <f t="shared" si="12"/>
        <v>7f</v>
      </c>
      <c r="B52" s="227"/>
      <c r="C52" s="255"/>
      <c r="D52" s="224"/>
      <c r="E52" s="71" t="s">
        <v>46</v>
      </c>
      <c r="F52" s="73" t="s">
        <v>101</v>
      </c>
      <c r="G52" s="94" t="s">
        <v>39</v>
      </c>
      <c r="H52" s="96" t="s">
        <v>235</v>
      </c>
      <c r="I52" s="89" t="str">
        <f t="shared" si="2"/>
        <v>Mantenimiento del control</v>
      </c>
      <c r="J52" s="86">
        <f t="shared" si="13"/>
        <v>120</v>
      </c>
      <c r="K52" s="86">
        <v>0.85123000000000004</v>
      </c>
      <c r="L52" s="86">
        <f t="shared" si="3"/>
        <v>120.85123</v>
      </c>
    </row>
    <row r="53" spans="1:17" s="40" customFormat="1" ht="45.6" customHeight="1" thickBot="1" x14ac:dyDescent="0.35">
      <c r="A53" s="84" t="str">
        <f t="shared" si="12"/>
        <v>7g</v>
      </c>
      <c r="B53" s="228"/>
      <c r="C53" s="256"/>
      <c r="D53" s="225"/>
      <c r="E53" s="74" t="s">
        <v>48</v>
      </c>
      <c r="F53" s="75" t="s">
        <v>102</v>
      </c>
      <c r="G53" s="97" t="s">
        <v>39</v>
      </c>
      <c r="H53" s="96" t="s">
        <v>235</v>
      </c>
      <c r="I53" s="90" t="str">
        <f t="shared" si="2"/>
        <v>Mantenimiento del control</v>
      </c>
      <c r="J53" s="86">
        <f t="shared" si="13"/>
        <v>120</v>
      </c>
      <c r="K53" s="86">
        <v>0.85123400000000005</v>
      </c>
      <c r="L53" s="86">
        <f t="shared" si="3"/>
        <v>120.85123400000001</v>
      </c>
    </row>
    <row r="54" spans="1:17" s="40" customFormat="1" ht="102.75" customHeight="1" thickBot="1" x14ac:dyDescent="0.35">
      <c r="A54" s="84" t="str">
        <f>8&amp;E54</f>
        <v>8h</v>
      </c>
      <c r="B54" s="138" t="s">
        <v>103</v>
      </c>
      <c r="C54" s="139" t="s">
        <v>97</v>
      </c>
      <c r="D54" s="64" t="s">
        <v>104</v>
      </c>
      <c r="E54" s="69" t="s">
        <v>50</v>
      </c>
      <c r="F54" s="70" t="s">
        <v>105</v>
      </c>
      <c r="G54" s="92" t="s">
        <v>36</v>
      </c>
      <c r="H54" s="326" t="s">
        <v>191</v>
      </c>
      <c r="I54" s="85" t="str">
        <f t="shared" si="2"/>
        <v>Deficiencia de control</v>
      </c>
      <c r="J54" s="86">
        <f t="shared" si="13"/>
        <v>80</v>
      </c>
      <c r="K54" s="86">
        <v>0.85123450000000001</v>
      </c>
      <c r="L54" s="86">
        <f t="shared" si="3"/>
        <v>80.851234500000004</v>
      </c>
    </row>
    <row r="55" spans="1:17" s="40" customFormat="1" ht="54.75" customHeight="1" x14ac:dyDescent="0.3">
      <c r="A55" s="84" t="str">
        <f>9&amp;E55</f>
        <v>9a</v>
      </c>
      <c r="B55" s="226" t="s">
        <v>106</v>
      </c>
      <c r="C55" s="254" t="s">
        <v>97</v>
      </c>
      <c r="D55" s="223" t="s">
        <v>107</v>
      </c>
      <c r="E55" s="69" t="s">
        <v>34</v>
      </c>
      <c r="F55" s="70" t="s">
        <v>108</v>
      </c>
      <c r="G55" s="92" t="s">
        <v>76</v>
      </c>
      <c r="H55" s="93" t="s">
        <v>241</v>
      </c>
      <c r="I55" s="85" t="str">
        <f t="shared" si="2"/>
        <v>Oportunidad de mejora</v>
      </c>
      <c r="J55" s="86">
        <f t="shared" si="13"/>
        <v>100</v>
      </c>
      <c r="K55" s="91">
        <v>0.85123455999999997</v>
      </c>
      <c r="L55" s="86">
        <f t="shared" si="3"/>
        <v>100.85123455999999</v>
      </c>
      <c r="M55" s="39"/>
      <c r="N55" s="39"/>
      <c r="O55" s="39"/>
      <c r="P55" s="39"/>
      <c r="Q55" s="39"/>
    </row>
    <row r="56" spans="1:17" s="40" customFormat="1" ht="55.5" customHeight="1" thickBot="1" x14ac:dyDescent="0.35">
      <c r="A56" s="84" t="str">
        <f t="shared" ref="A56:A59" si="14">9&amp;E56</f>
        <v>9b</v>
      </c>
      <c r="B56" s="227"/>
      <c r="C56" s="255"/>
      <c r="D56" s="224"/>
      <c r="E56" s="71" t="s">
        <v>37</v>
      </c>
      <c r="F56" s="73" t="s">
        <v>109</v>
      </c>
      <c r="G56" s="94" t="s">
        <v>76</v>
      </c>
      <c r="H56" s="96" t="s">
        <v>251</v>
      </c>
      <c r="I56" s="89" t="str">
        <f t="shared" si="2"/>
        <v>Oportunidad de mejora</v>
      </c>
      <c r="J56" s="86">
        <f t="shared" si="13"/>
        <v>100</v>
      </c>
      <c r="K56" s="91">
        <v>0.851234567</v>
      </c>
      <c r="L56" s="86">
        <f t="shared" si="3"/>
        <v>100.85123456700001</v>
      </c>
      <c r="M56" s="39"/>
      <c r="N56" s="39"/>
      <c r="O56" s="39"/>
      <c r="P56" s="39"/>
      <c r="Q56" s="39"/>
    </row>
    <row r="57" spans="1:17" s="40" customFormat="1" ht="77.25" customHeight="1" x14ac:dyDescent="0.3">
      <c r="A57" s="84" t="str">
        <f t="shared" si="14"/>
        <v>9c</v>
      </c>
      <c r="B57" s="227"/>
      <c r="C57" s="255"/>
      <c r="D57" s="224"/>
      <c r="E57" s="71" t="s">
        <v>40</v>
      </c>
      <c r="F57" s="73" t="s">
        <v>110</v>
      </c>
      <c r="G57" s="94" t="s">
        <v>76</v>
      </c>
      <c r="H57" s="93" t="s">
        <v>241</v>
      </c>
      <c r="I57" s="89" t="str">
        <f t="shared" si="2"/>
        <v>Oportunidad de mejora</v>
      </c>
      <c r="J57" s="86">
        <f t="shared" si="13"/>
        <v>100</v>
      </c>
      <c r="K57" s="91">
        <v>0.85123456779999995</v>
      </c>
      <c r="L57" s="86">
        <f t="shared" si="3"/>
        <v>100.85123456780001</v>
      </c>
      <c r="M57" s="39"/>
      <c r="N57" s="39"/>
      <c r="O57" s="39"/>
      <c r="P57" s="39"/>
      <c r="Q57" s="39"/>
    </row>
    <row r="58" spans="1:17" s="40" customFormat="1" ht="77.25" customHeight="1" x14ac:dyDescent="0.3">
      <c r="A58" s="84" t="str">
        <f t="shared" si="14"/>
        <v>9d</v>
      </c>
      <c r="B58" s="227"/>
      <c r="C58" s="255"/>
      <c r="D58" s="224"/>
      <c r="E58" s="71" t="s">
        <v>42</v>
      </c>
      <c r="F58" s="73" t="s">
        <v>111</v>
      </c>
      <c r="G58" s="94" t="s">
        <v>76</v>
      </c>
      <c r="H58" s="96" t="s">
        <v>206</v>
      </c>
      <c r="I58" s="89" t="str">
        <f t="shared" si="2"/>
        <v>Oportunidad de mejora</v>
      </c>
      <c r="J58" s="86">
        <f t="shared" si="13"/>
        <v>100</v>
      </c>
      <c r="K58" s="91">
        <v>0.85123456788999996</v>
      </c>
      <c r="L58" s="86">
        <f t="shared" si="3"/>
        <v>100.85123456789</v>
      </c>
      <c r="M58" s="39"/>
      <c r="N58" s="39"/>
      <c r="O58" s="39"/>
      <c r="P58" s="39"/>
      <c r="Q58" s="39"/>
    </row>
    <row r="59" spans="1:17" s="40" customFormat="1" ht="88.5" customHeight="1" thickBot="1" x14ac:dyDescent="0.35">
      <c r="A59" s="84" t="str">
        <f t="shared" si="14"/>
        <v>9e</v>
      </c>
      <c r="B59" s="228"/>
      <c r="C59" s="255"/>
      <c r="D59" s="241"/>
      <c r="E59" s="74" t="s">
        <v>44</v>
      </c>
      <c r="F59" s="75" t="s">
        <v>112</v>
      </c>
      <c r="G59" s="97" t="s">
        <v>76</v>
      </c>
      <c r="H59" s="96" t="s">
        <v>207</v>
      </c>
      <c r="I59" s="90" t="str">
        <f t="shared" si="2"/>
        <v>Oportunidad de mejora</v>
      </c>
      <c r="J59" s="86">
        <f t="shared" si="13"/>
        <v>100</v>
      </c>
      <c r="K59" s="91">
        <v>0.85123456789100005</v>
      </c>
      <c r="L59" s="86">
        <f t="shared" si="3"/>
        <v>100.851234567891</v>
      </c>
      <c r="M59" s="39"/>
      <c r="N59" s="39"/>
      <c r="O59" s="39"/>
      <c r="P59" s="39"/>
      <c r="Q59" s="39"/>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 ref="B14:I14"/>
    <mergeCell ref="D43:D49"/>
    <mergeCell ref="B43:B49"/>
    <mergeCell ref="D50:D53"/>
    <mergeCell ref="B50:B53"/>
    <mergeCell ref="D16:D27"/>
    <mergeCell ref="B16:B27"/>
    <mergeCell ref="B28:B31"/>
    <mergeCell ref="D28:D31"/>
  </mergeCells>
  <dataValidations count="2">
    <dataValidation type="list" allowBlank="1" showInputMessage="1" showErrorMessage="1" sqref="G55:G59 G16:G53" xr:uid="{00000000-0002-0000-0100-000000000000}">
      <formula1>"Si, No, En proceso"</formula1>
    </dataValidation>
    <dataValidation type="list" allowBlank="1" showInputMessage="1" showErrorMessage="1" sqref="G54" xr:uid="{00000000-0002-0000-0100-000001000000}">
      <formula1>"Si, No"</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74"/>
  <sheetViews>
    <sheetView topLeftCell="A58" zoomScaleNormal="100" zoomScalePageLayoutView="80" workbookViewId="0">
      <selection activeCell="C17" sqref="C17:J62"/>
    </sheetView>
  </sheetViews>
  <sheetFormatPr baseColWidth="10" defaultColWidth="11.44140625" defaultRowHeight="14.4" x14ac:dyDescent="0.3"/>
  <cols>
    <col min="3" max="3" width="22.88671875" customWidth="1"/>
    <col min="4" max="4" width="22.44140625" customWidth="1"/>
    <col min="5" max="5" width="53.44140625" customWidth="1"/>
    <col min="7" max="7" width="28.33203125" customWidth="1"/>
    <col min="8" max="8" width="4.88671875" customWidth="1"/>
    <col min="9" max="9" width="15.33203125" customWidth="1"/>
    <col min="10" max="10" width="22.44140625" customWidth="1"/>
    <col min="11" max="29" width="11.44140625" style="1"/>
  </cols>
  <sheetData>
    <row r="1" spans="1:11" x14ac:dyDescent="0.3">
      <c r="A1" s="1"/>
      <c r="B1" s="1"/>
      <c r="C1" s="1"/>
      <c r="D1" s="166"/>
      <c r="E1" s="1"/>
      <c r="F1" s="1"/>
      <c r="G1" s="1"/>
      <c r="H1" s="1"/>
      <c r="I1" s="1"/>
      <c r="J1" s="1"/>
    </row>
    <row r="2" spans="1:11" s="1" customFormat="1" x14ac:dyDescent="0.3"/>
    <row r="3" spans="1:11" s="1" customFormat="1" x14ac:dyDescent="0.3"/>
    <row r="4" spans="1:11" x14ac:dyDescent="0.3">
      <c r="A4" s="1"/>
      <c r="B4" s="1"/>
      <c r="C4" s="1"/>
      <c r="D4" s="1"/>
      <c r="E4" s="1"/>
      <c r="F4" s="1"/>
      <c r="G4" s="1"/>
      <c r="H4" s="1"/>
      <c r="I4" s="1"/>
      <c r="J4" s="1"/>
    </row>
    <row r="5" spans="1:11" x14ac:dyDescent="0.3">
      <c r="A5" s="1"/>
      <c r="B5" s="1"/>
      <c r="C5" s="1"/>
      <c r="D5" s="1"/>
      <c r="E5" s="1"/>
      <c r="F5" s="1"/>
      <c r="G5" s="1"/>
      <c r="H5" s="1"/>
      <c r="I5" s="1"/>
      <c r="J5" s="1"/>
    </row>
    <row r="6" spans="1:11" ht="15" thickBot="1" x14ac:dyDescent="0.35">
      <c r="A6" s="1"/>
      <c r="B6" s="1"/>
      <c r="C6" s="1"/>
      <c r="D6" s="1"/>
      <c r="E6" s="1"/>
      <c r="F6" s="1"/>
      <c r="G6" s="1"/>
      <c r="H6" s="1"/>
      <c r="I6" s="1"/>
      <c r="J6" s="1"/>
    </row>
    <row r="7" spans="1:11" ht="25.8" thickBot="1" x14ac:dyDescent="0.35">
      <c r="A7" s="1"/>
      <c r="B7" s="1"/>
      <c r="C7" s="266" t="s">
        <v>113</v>
      </c>
      <c r="D7" s="267"/>
      <c r="E7" s="267"/>
      <c r="F7" s="267"/>
      <c r="G7" s="267"/>
      <c r="H7" s="267"/>
      <c r="I7" s="267"/>
      <c r="J7" s="267"/>
      <c r="K7" s="268"/>
    </row>
    <row r="8" spans="1:11" s="1" customFormat="1" ht="15" thickBot="1" x14ac:dyDescent="0.35">
      <c r="C8" s="30"/>
      <c r="D8" s="30"/>
      <c r="E8" s="31"/>
      <c r="F8" s="31"/>
      <c r="G8" s="31"/>
      <c r="H8" s="31"/>
      <c r="I8" s="41"/>
      <c r="J8" s="31"/>
      <c r="K8" s="31"/>
    </row>
    <row r="9" spans="1:11" ht="21" thickBot="1" x14ac:dyDescent="0.35">
      <c r="A9" s="1"/>
      <c r="B9" s="1"/>
      <c r="C9" s="175" t="s">
        <v>15</v>
      </c>
      <c r="D9" s="176"/>
      <c r="E9" s="176" t="s">
        <v>16</v>
      </c>
      <c r="F9" s="187"/>
      <c r="G9" s="31"/>
      <c r="H9" s="31"/>
      <c r="I9" s="41"/>
      <c r="J9" s="31"/>
      <c r="K9" s="31"/>
    </row>
    <row r="10" spans="1:11" ht="54" customHeight="1" x14ac:dyDescent="0.3">
      <c r="A10" s="1"/>
      <c r="B10" s="1"/>
      <c r="C10" s="188" t="s">
        <v>17</v>
      </c>
      <c r="D10" s="189"/>
      <c r="E10" s="190" t="s">
        <v>18</v>
      </c>
      <c r="F10" s="191"/>
      <c r="G10" s="32"/>
      <c r="H10" s="33">
        <v>1</v>
      </c>
      <c r="I10" s="41"/>
      <c r="J10" s="31"/>
      <c r="K10" s="31"/>
    </row>
    <row r="11" spans="1:11" ht="46.5" customHeight="1" x14ac:dyDescent="0.3">
      <c r="A11" s="1"/>
      <c r="B11" s="1"/>
      <c r="C11" s="177" t="s">
        <v>19</v>
      </c>
      <c r="D11" s="178"/>
      <c r="E11" s="179" t="s">
        <v>114</v>
      </c>
      <c r="F11" s="180"/>
      <c r="G11" s="34" t="s">
        <v>115</v>
      </c>
      <c r="H11" s="33">
        <v>0.75</v>
      </c>
      <c r="I11" s="41"/>
      <c r="J11" s="31"/>
      <c r="K11" s="31"/>
    </row>
    <row r="12" spans="1:11" ht="70.5" customHeight="1" thickBot="1" x14ac:dyDescent="0.35">
      <c r="A12" s="1"/>
      <c r="B12" s="1"/>
      <c r="C12" s="181" t="s">
        <v>21</v>
      </c>
      <c r="D12" s="182"/>
      <c r="E12" s="183" t="s">
        <v>116</v>
      </c>
      <c r="F12" s="184"/>
      <c r="G12" s="35"/>
      <c r="H12" s="33">
        <v>0.25</v>
      </c>
      <c r="I12" s="41"/>
      <c r="J12" s="31"/>
      <c r="K12" s="31"/>
    </row>
    <row r="13" spans="1:11" s="1" customFormat="1" x14ac:dyDescent="0.3"/>
    <row r="14" spans="1:11" s="1" customFormat="1" x14ac:dyDescent="0.3"/>
    <row r="15" spans="1:11" s="1" customFormat="1" x14ac:dyDescent="0.3"/>
    <row r="16" spans="1:11" s="1" customFormat="1" ht="15" thickBot="1" x14ac:dyDescent="0.35"/>
    <row r="17" spans="1:10" x14ac:dyDescent="0.3">
      <c r="A17" s="1"/>
      <c r="B17" s="1"/>
      <c r="C17" s="274" t="s">
        <v>117</v>
      </c>
      <c r="D17" s="276" t="s">
        <v>118</v>
      </c>
      <c r="E17" s="277"/>
      <c r="F17" s="278" t="s">
        <v>119</v>
      </c>
      <c r="G17" s="280" t="s">
        <v>120</v>
      </c>
      <c r="H17" s="29"/>
      <c r="I17" s="269" t="s">
        <v>121</v>
      </c>
      <c r="J17" s="269" t="s">
        <v>122</v>
      </c>
    </row>
    <row r="18" spans="1:10" ht="36" customHeight="1" thickBot="1" x14ac:dyDescent="0.35">
      <c r="A18" s="1"/>
      <c r="B18" s="1"/>
      <c r="C18" s="275"/>
      <c r="D18" s="99" t="s">
        <v>123</v>
      </c>
      <c r="E18" s="100" t="s">
        <v>27</v>
      </c>
      <c r="F18" s="279"/>
      <c r="G18" s="281"/>
      <c r="H18" s="29"/>
      <c r="I18" s="270"/>
      <c r="J18" s="270"/>
    </row>
    <row r="19" spans="1:10" ht="65.25" customHeight="1" x14ac:dyDescent="0.3">
      <c r="A19" s="1"/>
      <c r="B19" s="1"/>
      <c r="C19" s="118">
        <v>1</v>
      </c>
      <c r="D19" s="271" t="s">
        <v>32</v>
      </c>
      <c r="E19" s="101" t="str">
        <f>+IFERROR(INDEX(Hoja1!$E$2:$E$45,MATCH('Análisis Resultados'!C19,Hoja1!$H$2:$H$45,0)),"")</f>
        <v>Procesos de desvinculación de servidores de acuerdo con lo previsto en la Constitución Política y las leyes</v>
      </c>
      <c r="F19" s="102" t="str">
        <f>+IFERROR(VLOOKUP(C19,Hoja1!$H$2:$I$45,2,0),"")</f>
        <v>No</v>
      </c>
      <c r="G19" s="103"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No se encuentra el aspecto  por lo tanto la entidad debera generar acciones dirigidas a que se cumpla con el requerimiento.</v>
      </c>
      <c r="I19" s="119">
        <f>+IF(F19="Si",1,IF(F19="En proceso",0.5,0))</f>
        <v>0</v>
      </c>
      <c r="J19" s="284">
        <f>+AVERAGE(I19:I30)</f>
        <v>0.79166666666666663</v>
      </c>
    </row>
    <row r="20" spans="1:10" ht="30.6" x14ac:dyDescent="0.3">
      <c r="A20" s="1"/>
      <c r="B20" s="1"/>
      <c r="C20" s="118">
        <v>2</v>
      </c>
      <c r="D20" s="272"/>
      <c r="E20" s="104" t="str">
        <f>+IFERROR(INDEX(Hoja1!$E$2:$E$45,MATCH('Análisis Resultados'!C20,Hoja1!$H$2:$H$45,0)),"")</f>
        <v>Documento interno o adopción del MECI actualizado</v>
      </c>
      <c r="F20" s="105" t="str">
        <f>+IFERROR(VLOOKUP(C20,Hoja1!$H$2:$I$45,2,0),"")</f>
        <v>En proceso</v>
      </c>
      <c r="G20" s="106"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Se encuentra en proceso, pero requiere continuar con acciones dirigidas a contar con dicho aspecto de control.</v>
      </c>
      <c r="I20" s="120">
        <f t="shared" ref="I20:I62" si="1">+IF(F20="Si",1,IF(F20="En proceso",0.5,0))</f>
        <v>0.5</v>
      </c>
      <c r="J20" s="285"/>
    </row>
    <row r="21" spans="1:10" ht="41.4" x14ac:dyDescent="0.3">
      <c r="A21" s="1"/>
      <c r="B21" s="1"/>
      <c r="C21" s="118">
        <v>3</v>
      </c>
      <c r="D21" s="272"/>
      <c r="E21" s="104" t="str">
        <f>+IFERROR(INDEX(Hoja1!$E$2:$E$45,MATCH('Análisis Resultados'!C21,Hoja1!$H$2:$H$45,0)),"")</f>
        <v>Un documento tal como un código de ética, integridad u otro que formalice los estándares de conducta, los principios institucionales o los valores del servicio público</v>
      </c>
      <c r="F21" s="105" t="str">
        <f>+IFERROR(VLOOKUP(C21,Hoja1!$H$2:$I$45,2,0),"")</f>
        <v>En proceso</v>
      </c>
      <c r="G21" s="106" t="str">
        <f t="shared" si="0"/>
        <v>Se encuentra en proceso, pero requiere continuar con acciones dirigidas a contar con dicho aspecto de control.</v>
      </c>
      <c r="I21" s="120">
        <f t="shared" si="1"/>
        <v>0.5</v>
      </c>
      <c r="J21" s="285"/>
    </row>
    <row r="22" spans="1:10" ht="56.25" customHeight="1" x14ac:dyDescent="0.3">
      <c r="A22" s="1"/>
      <c r="B22" s="1"/>
      <c r="C22" s="118">
        <v>4</v>
      </c>
      <c r="D22" s="272"/>
      <c r="E22" s="104" t="str">
        <f>+IFERROR(INDEX(Hoja1!$E$2:$E$45,MATCH('Análisis Resultados'!C22,Hoja1!$H$2:$H$45,0)),"")</f>
        <v>La documentación de sus procesos y procedimientos o bien una lista de actividades principales que permitan conocer el estado de su gestión</v>
      </c>
      <c r="F22" s="105" t="str">
        <f>+IFERROR(VLOOKUP(C22,Hoja1!$H$2:$I$45,2,0),"")</f>
        <v>En proceso</v>
      </c>
      <c r="G22" s="106" t="str">
        <f t="shared" si="0"/>
        <v>Se encuentra en proceso, pero requiere continuar con acciones dirigidas a contar con dicho aspecto de control.</v>
      </c>
      <c r="I22" s="120">
        <f t="shared" si="1"/>
        <v>0.5</v>
      </c>
      <c r="J22" s="285"/>
    </row>
    <row r="23" spans="1:10" ht="30.6" x14ac:dyDescent="0.3">
      <c r="A23" s="1"/>
      <c r="B23" s="1"/>
      <c r="C23" s="118">
        <v>5</v>
      </c>
      <c r="D23" s="272"/>
      <c r="E23" s="104" t="str">
        <f>+IFERROR(INDEX(Hoja1!$E$2:$E$45,MATCH('Análisis Resultados'!C23,Hoja1!$H$2:$H$45,0)),"")</f>
        <v>Planes, programas y proyectos de acuerdo con las normas que rigen y atendiendo con su propósito fundamental institucional (misión)</v>
      </c>
      <c r="F23" s="105" t="str">
        <f>+IFERROR(VLOOKUP(C23,Hoja1!$H$2:$I$45,2,0),"")</f>
        <v>Si</v>
      </c>
      <c r="G23" s="106" t="str">
        <f t="shared" si="0"/>
        <v>Existe requerimiento pero se requiere actividades  dirigidas a su mantenimiento dentro del marco de las lineas de defensa.</v>
      </c>
      <c r="I23" s="120">
        <f t="shared" si="1"/>
        <v>1</v>
      </c>
      <c r="J23" s="285"/>
    </row>
    <row r="24" spans="1:10" ht="30.6" x14ac:dyDescent="0.3">
      <c r="A24" s="1"/>
      <c r="B24" s="1"/>
      <c r="C24" s="118">
        <v>6</v>
      </c>
      <c r="D24" s="272"/>
      <c r="E24" s="104" t="str">
        <f>+IFERROR(INDEX(Hoja1!$E$2:$E$45,MATCH('Análisis Resultados'!C24,Hoja1!$H$2:$H$45,0)),"")</f>
        <v>Una estructura organizacional formalizada (organigrama)</v>
      </c>
      <c r="F24" s="105" t="str">
        <f>+IFERROR(VLOOKUP(C24,Hoja1!$H$2:$I$45,2,0),"")</f>
        <v>Si</v>
      </c>
      <c r="G24" s="106" t="str">
        <f t="shared" si="0"/>
        <v>Existe requerimiento pero se requiere actividades  dirigidas a su mantenimiento dentro del marco de las lineas de defensa.</v>
      </c>
      <c r="I24" s="120">
        <f t="shared" si="1"/>
        <v>1</v>
      </c>
      <c r="J24" s="285"/>
    </row>
    <row r="25" spans="1:10" ht="41.4" x14ac:dyDescent="0.3">
      <c r="A25" s="1"/>
      <c r="B25" s="1"/>
      <c r="C25" s="118">
        <v>7</v>
      </c>
      <c r="D25" s="272"/>
      <c r="E25" s="104" t="str">
        <f>+IFERROR(INDEX(Hoja1!$E$2:$E$45,MATCH('Análisis Resultados'!C25,Hoja1!$H$2:$H$45,0)),"")</f>
        <v>Un manual de funciones que describa los empleos de la entidad</v>
      </c>
      <c r="F25" s="105" t="str">
        <f>+IFERROR(VLOOKUP(C25,Hoja1!$H$2:$I$45,2,0),"")</f>
        <v>Si</v>
      </c>
      <c r="G25" s="106" t="str">
        <f t="shared" si="0"/>
        <v>Existe requerimiento pero se requiere actividades  dirigidas a su mantenimiento dentro del marco de las lineas de defensa.</v>
      </c>
      <c r="I25" s="120">
        <f t="shared" si="1"/>
        <v>1</v>
      </c>
      <c r="J25" s="285"/>
    </row>
    <row r="26" spans="1:10" ht="41.4" x14ac:dyDescent="0.3">
      <c r="A26" s="1"/>
      <c r="B26" s="1"/>
      <c r="C26" s="118">
        <v>8</v>
      </c>
      <c r="D26" s="272"/>
      <c r="E26" s="104" t="str">
        <f>+IFERROR(INDEX(Hoja1!$E$2:$E$45,MATCH('Análisis Resultados'!C26,Hoja1!$H$2:$H$45,0)),"")</f>
        <v>Vinculación de los servidores públicos de acuerdo con el marco normativo que les rige (carrera administrativa, libre nombramiento y remoción, entre otros)</v>
      </c>
      <c r="F26" s="105" t="str">
        <f>+IFERROR(VLOOKUP(C26,Hoja1!$H$2:$I$45,2,0),"")</f>
        <v>Si</v>
      </c>
      <c r="G26" s="106" t="str">
        <f t="shared" si="0"/>
        <v>Existe requerimiento pero se requiere actividades  dirigidas a su mantenimiento dentro del marco de las lineas de defensa.</v>
      </c>
      <c r="I26" s="120">
        <f t="shared" si="1"/>
        <v>1</v>
      </c>
      <c r="J26" s="285"/>
    </row>
    <row r="27" spans="1:10" ht="41.4" x14ac:dyDescent="0.3">
      <c r="A27" s="1"/>
      <c r="B27" s="1"/>
      <c r="C27" s="118">
        <v>9</v>
      </c>
      <c r="D27" s="272"/>
      <c r="E27" s="104" t="str">
        <f>+IFERROR(INDEX(Hoja1!$E$2:$E$45,MATCH('Análisis Resultados'!C27,Hoja1!$H$2:$H$45,0)),"")</f>
        <v>Procesos de inducción, capacitación y bienestar social para sus servidores públicos, de manera directa o en asociación con otras entidades municipales</v>
      </c>
      <c r="F27" s="105" t="str">
        <f>+IFERROR(VLOOKUP(C27,Hoja1!$H$2:$I$45,2,0),"")</f>
        <v>Si</v>
      </c>
      <c r="G27" s="106" t="str">
        <f t="shared" si="0"/>
        <v>Existe requerimiento pero se requiere actividades  dirigidas a su mantenimiento dentro del marco de las lineas de defensa.</v>
      </c>
      <c r="I27" s="120">
        <f t="shared" si="1"/>
        <v>1</v>
      </c>
      <c r="J27" s="285"/>
    </row>
    <row r="28" spans="1:10" ht="30.6" x14ac:dyDescent="0.3">
      <c r="A28" s="1"/>
      <c r="B28" s="1"/>
      <c r="C28" s="118">
        <v>10</v>
      </c>
      <c r="D28" s="272"/>
      <c r="E28" s="104" t="str">
        <f>+IFERROR(INDEX(Hoja1!$E$2:$E$45,MATCH('Análisis Resultados'!C28,Hoja1!$H$2:$H$45,0)),"")</f>
        <v>Evaluación a los servidores públicos de acuerdo con el marco normativo que le rige</v>
      </c>
      <c r="F28" s="105" t="str">
        <f>+IFERROR(VLOOKUP(C28,Hoja1!$H$2:$I$45,2,0),"")</f>
        <v>Si</v>
      </c>
      <c r="G28" s="106" t="str">
        <f t="shared" si="0"/>
        <v>Existe requerimiento pero se requiere actividades  dirigidas a su mantenimiento dentro del marco de las lineas de defensa.</v>
      </c>
      <c r="I28" s="120">
        <f t="shared" si="1"/>
        <v>1</v>
      </c>
      <c r="J28" s="285"/>
    </row>
    <row r="29" spans="1:10" ht="30.6" x14ac:dyDescent="0.3">
      <c r="A29" s="1"/>
      <c r="B29" s="1"/>
      <c r="C29" s="118">
        <v>11</v>
      </c>
      <c r="D29" s="272"/>
      <c r="E29" s="104" t="str">
        <f>+IFERROR(INDEX(Hoja1!$E$2:$E$45,MATCH('Análisis Resultados'!C29,Hoja1!$H$2:$H$45,0)),"")</f>
        <v>Mecanismos de rendición de cuentas a la ciudadanía</v>
      </c>
      <c r="F29" s="105" t="str">
        <f>+IFERROR(VLOOKUP(C29,Hoja1!$H$2:$I$45,2,0),"")</f>
        <v>Si</v>
      </c>
      <c r="G29" s="106"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I29" s="120">
        <f t="shared" si="1"/>
        <v>1</v>
      </c>
      <c r="J29" s="285"/>
    </row>
    <row r="30" spans="1:10" ht="31.2" thickBot="1" x14ac:dyDescent="0.35">
      <c r="A30" s="1"/>
      <c r="B30" s="1"/>
      <c r="C30" s="118">
        <v>12</v>
      </c>
      <c r="D30" s="273"/>
      <c r="E30" s="107" t="str">
        <f>+IFERROR(INDEX(Hoja1!$E$2:$E$45,MATCH('Análisis Resultados'!C30,Hoja1!$H$2:$H$45,0)),"")</f>
        <v>Presentación oportuna de sus informes de gestión a las autoridades competentes</v>
      </c>
      <c r="F30" s="108" t="str">
        <f>+IFERROR(VLOOKUP(C30,Hoja1!$H$2:$I$45,2,0),"")</f>
        <v>Si</v>
      </c>
      <c r="G30" s="109" t="str">
        <f t="shared" si="0"/>
        <v>Existe requerimiento pero se requiere actividades  dirigidas a su mantenimiento dentro del marco de las lineas de defensa.</v>
      </c>
      <c r="I30" s="121">
        <f t="shared" si="1"/>
        <v>1</v>
      </c>
      <c r="J30" s="286"/>
    </row>
    <row r="31" spans="1:10" ht="45" customHeight="1" x14ac:dyDescent="0.3">
      <c r="A31" s="1"/>
      <c r="B31" s="1"/>
      <c r="C31" s="118">
        <v>13</v>
      </c>
      <c r="D31" s="299" t="s">
        <v>61</v>
      </c>
      <c r="E31" s="101" t="str">
        <f>+IFERROR(INDEX(Hoja1!$E$2:$E$45,MATCH('Análisis Resultados'!C31,Hoja1!$H$2:$H$45,0)),"")</f>
        <v>Se definen espacios de reunión para conocerlos y proponer acciones para su solución</v>
      </c>
      <c r="F31" s="102" t="str">
        <f>+IFERROR(VLOOKUP(C31,Hoja1!$H$2:$I$45,2,0),"")</f>
        <v>No</v>
      </c>
      <c r="G31" s="103" t="str">
        <f t="shared" si="0"/>
        <v>No se encuentra el aspecto  por lo tanto la entidad debera generar acciones dirigidas a que se cumpla con el requerimiento.</v>
      </c>
      <c r="I31" s="119">
        <f t="shared" si="1"/>
        <v>0</v>
      </c>
      <c r="J31" s="282">
        <f>+AVERAGE(I31:I40)</f>
        <v>0.55000000000000004</v>
      </c>
    </row>
    <row r="32" spans="1:10" ht="57" customHeight="1" x14ac:dyDescent="0.3">
      <c r="A32" s="1"/>
      <c r="B32" s="1"/>
      <c r="C32" s="118">
        <v>14</v>
      </c>
      <c r="D32" s="300"/>
      <c r="E32" s="104" t="str">
        <f>+IFERROR(INDEX(Hoja1!$E$2:$E$45,MATCH('Análisis Resultados'!C32,Hoja1!$H$2:$H$45,0)),"")</f>
        <v>Cada líder del equipo autónomamente toma las acciones para solucionarlos.</v>
      </c>
      <c r="F32" s="105" t="str">
        <f>+IFERROR(VLOOKUP(C32,Hoja1!$H$2:$I$45,2,0),"")</f>
        <v>No</v>
      </c>
      <c r="G32" s="106" t="str">
        <f t="shared" si="0"/>
        <v>No se encuentra el aspecto  por lo tanto la entidad debera generar acciones dirigidas a que se cumpla con el requerimiento.</v>
      </c>
      <c r="I32" s="120">
        <f t="shared" si="1"/>
        <v>0</v>
      </c>
      <c r="J32" s="283"/>
    </row>
    <row r="33" spans="1:10" ht="54" customHeight="1" x14ac:dyDescent="0.3">
      <c r="A33" s="1"/>
      <c r="B33" s="1"/>
      <c r="C33" s="118">
        <v>15</v>
      </c>
      <c r="D33" s="300"/>
      <c r="E33" s="104" t="str">
        <f>+IFERROR(INDEX(Hoja1!$E$2:$E$45,MATCH('Análisis Resultados'!C33,Hoja1!$H$2:$H$45,0)),"")</f>
        <v>La identificación  de los riesgos relacionados con posibles actos de corrupción en el ejercicio de sus funciones</v>
      </c>
      <c r="F33" s="105" t="str">
        <f>+IFERROR(VLOOKUP(C33,Hoja1!$H$2:$I$45,2,0),"")</f>
        <v>En proceso</v>
      </c>
      <c r="G33" s="106" t="str">
        <f t="shared" si="0"/>
        <v>Se encuentra en proceso, pero requiere continuar con acciones dirigidas a contar con dicho aspecto de control.</v>
      </c>
      <c r="I33" s="120">
        <f t="shared" si="1"/>
        <v>0.5</v>
      </c>
      <c r="J33" s="283"/>
    </row>
    <row r="34" spans="1:10" ht="41.4" x14ac:dyDescent="0.3">
      <c r="A34" s="1"/>
      <c r="B34" s="1"/>
      <c r="C34" s="118">
        <v>16</v>
      </c>
      <c r="D34" s="300"/>
      <c r="E34" s="104" t="str">
        <f>+IFERROR(INDEX(Hoja1!$E$2:$E$45,MATCH('Análisis Resultados'!C34,Hoja1!$H$2:$H$45,0)),"")</f>
        <v>Si su capacidad e infraestructura lo permite, identificación de riesgos asociados a las tecnologías de la información y las comunicaciones</v>
      </c>
      <c r="F34" s="105" t="str">
        <f>+IFERROR(VLOOKUP(C34,Hoja1!$H$2:$I$45,2,0),"")</f>
        <v>En proceso</v>
      </c>
      <c r="G34" s="106" t="str">
        <f t="shared" si="0"/>
        <v>Se encuentra en proceso, pero requiere continuar con acciones dirigidas a contar con dicho aspecto de control.</v>
      </c>
      <c r="I34" s="120">
        <f t="shared" si="1"/>
        <v>0.5</v>
      </c>
      <c r="J34" s="283"/>
    </row>
    <row r="35" spans="1:10" ht="67.5" customHeight="1" x14ac:dyDescent="0.3">
      <c r="A35" s="1"/>
      <c r="B35" s="1"/>
      <c r="C35" s="118">
        <v>17</v>
      </c>
      <c r="D35" s="300"/>
      <c r="E35" s="104" t="str">
        <f>+IFERROR(INDEX(Hoja1!$E$2:$E$45,MATCH('Análisis Resultados'!C35,Hoja1!$H$2:$H$45,0)),"")</f>
        <v>Hacen seguimiento a los problemas (riesgos)  que pueden afectar el cumplimiento de sus procesos, programas o proyectos a cargo</v>
      </c>
      <c r="F35" s="105" t="str">
        <f>+IFERROR(VLOOKUP(C35,Hoja1!$H$2:$I$45,2,0),"")</f>
        <v>En proceso</v>
      </c>
      <c r="G35" s="106" t="str">
        <f t="shared" si="0"/>
        <v>Se encuentra en proceso, pero requiere continuar con acciones dirigidas a contar con dicho aspecto de control.</v>
      </c>
      <c r="I35" s="120">
        <f t="shared" si="1"/>
        <v>0.5</v>
      </c>
      <c r="J35" s="283"/>
    </row>
    <row r="36" spans="1:10" ht="30.6" x14ac:dyDescent="0.3">
      <c r="A36" s="1"/>
      <c r="B36" s="1"/>
      <c r="C36" s="118">
        <v>18</v>
      </c>
      <c r="D36" s="300"/>
      <c r="E36" s="104" t="str">
        <f>+IFERROR(INDEX(Hoja1!$E$2:$E$45,MATCH('Análisis Resultados'!C36,Hoja1!$H$2:$H$45,0)),"")</f>
        <v>Informan de manera periódica a quien corresponda sobre el desempeño de las actividades de gestión de riesgos</v>
      </c>
      <c r="F36" s="105" t="str">
        <f>+IFERROR(VLOOKUP(C36,Hoja1!$H$2:$I$45,2,0),"")</f>
        <v>En proceso</v>
      </c>
      <c r="G36" s="106" t="str">
        <f t="shared" si="0"/>
        <v>Se encuentra en proceso, pero requiere continuar con acciones dirigidas a contar con dicho aspecto de control.</v>
      </c>
      <c r="I36" s="120">
        <f t="shared" si="1"/>
        <v>0.5</v>
      </c>
      <c r="J36" s="283"/>
    </row>
    <row r="37" spans="1:10" ht="57" customHeight="1" x14ac:dyDescent="0.3">
      <c r="A37" s="1"/>
      <c r="B37" s="1"/>
      <c r="C37" s="118">
        <v>19</v>
      </c>
      <c r="D37" s="300"/>
      <c r="E37" s="104" t="str">
        <f>+IFERROR(INDEX(Hoja1!$E$2:$E$45,MATCH('Análisis Resultados'!C37,Hoja1!$H$2:$H$45,0)),"")</f>
        <v>Identifican deficiencias en las maneras de  controlar los riesgos o problemas en sus procesos, programas o proyectos, y propone los ajustes necesarios</v>
      </c>
      <c r="F37" s="105" t="str">
        <f>+IFERROR(VLOOKUP(C37,Hoja1!$H$2:$I$45,2,0),"")</f>
        <v>En proceso</v>
      </c>
      <c r="G37" s="106" t="str">
        <f t="shared" si="0"/>
        <v>Se encuentra en proceso, pero requiere continuar con acciones dirigidas a contar con dicho aspecto de control.</v>
      </c>
      <c r="I37" s="120">
        <f t="shared" si="1"/>
        <v>0.5</v>
      </c>
      <c r="J37" s="283"/>
    </row>
    <row r="38" spans="1:10" ht="30.6" x14ac:dyDescent="0.3">
      <c r="A38" s="1"/>
      <c r="B38" s="1"/>
      <c r="C38" s="118">
        <v>20</v>
      </c>
      <c r="D38" s="300"/>
      <c r="E38" s="104" t="str">
        <f>+IFERROR(INDEX(Hoja1!$E$2:$E$45,MATCH('Análisis Resultados'!C38,Hoja1!$H$2:$H$45,0)),"")</f>
        <v>La identificación de cambios en su entorno que pueden generar consecuencias negativas en su gestión</v>
      </c>
      <c r="F38" s="105" t="str">
        <f>+IFERROR(VLOOKUP(C38,Hoja1!$H$2:$I$45,2,0),"")</f>
        <v>Si</v>
      </c>
      <c r="G38" s="106" t="str">
        <f t="shared" si="0"/>
        <v>Existe requerimiento pero se requiere actividades  dirigidas a su mantenimiento dentro del marco de las lineas de defensa.</v>
      </c>
      <c r="I38" s="120">
        <f t="shared" si="1"/>
        <v>1</v>
      </c>
      <c r="J38" s="283"/>
    </row>
    <row r="39" spans="1:10" ht="41.4" x14ac:dyDescent="0.3">
      <c r="A39" s="1"/>
      <c r="B39" s="1"/>
      <c r="C39" s="118">
        <v>21</v>
      </c>
      <c r="D39" s="300"/>
      <c r="E39" s="104" t="str">
        <f>+IFERROR(INDEX(Hoja1!$E$2:$E$45,MATCH('Análisis Resultados'!C39,Hoja1!$H$2:$H$45,0)),"")</f>
        <v>La identificación de aquellos problemas o aspectos que pueden afectar el cumplimiento de los planes de la entidad y en general su gestión institucional (riesgos)</v>
      </c>
      <c r="F39" s="105" t="str">
        <f>+IFERROR(VLOOKUP(C39,Hoja1!$H$2:$I$45,2,0),"")</f>
        <v>Si</v>
      </c>
      <c r="G39" s="106" t="str">
        <f t="shared" si="0"/>
        <v>Existe requerimiento pero se requiere actividades  dirigidas a su mantenimiento dentro del marco de las lineas de defensa.</v>
      </c>
      <c r="I39" s="120">
        <f t="shared" si="1"/>
        <v>1</v>
      </c>
      <c r="J39" s="283"/>
    </row>
    <row r="40" spans="1:10" ht="31.2" thickBot="1" x14ac:dyDescent="0.35">
      <c r="A40" s="1"/>
      <c r="B40" s="1"/>
      <c r="C40" s="118">
        <v>22</v>
      </c>
      <c r="D40" s="300"/>
      <c r="E40" s="110" t="str">
        <f>+IFERROR(INDEX(Hoja1!$E$2:$E$45,MATCH('Análisis Resultados'!C40,Hoja1!$H$2:$H$45,0)),"")</f>
        <v>Solamente hasta que un organismo de control actúa se definen acciones de mejora.</v>
      </c>
      <c r="F40" s="111" t="str">
        <f>+IFERROR(VLOOKUP(C40,Hoja1!$H$2:$I$45,2,0),"")</f>
        <v>Si</v>
      </c>
      <c r="G40" s="112" t="str">
        <f t="shared" si="0"/>
        <v>Existe requerimiento pero se requiere actividades  dirigidas a su mantenimiento dentro del marco de las lineas de defensa.</v>
      </c>
      <c r="I40" s="122">
        <f t="shared" si="1"/>
        <v>1</v>
      </c>
      <c r="J40" s="283"/>
    </row>
    <row r="41" spans="1:10" ht="87.75" customHeight="1" x14ac:dyDescent="0.3">
      <c r="A41" s="1"/>
      <c r="B41" s="1"/>
      <c r="C41" s="118">
        <v>23</v>
      </c>
      <c r="D41" s="295" t="s">
        <v>79</v>
      </c>
      <c r="E41" s="101" t="str">
        <f>+IFERROR(INDEX(Hoja1!$E$2:$E$45,MATCH('Análisis Resultados'!C41,Hoja1!$H$2:$H$45,0)),"")</f>
        <v>La definición de acciones o actividades para para dar tratamiento a los problemas identificados (mitigación de riesgos), incluyendo aquellos asociados a posibles actos de corrupción</v>
      </c>
      <c r="F41" s="102" t="str">
        <f>+IFERROR(VLOOKUP(C41,Hoja1!$H$2:$I$45,2,0),"")</f>
        <v>En proceso</v>
      </c>
      <c r="G41" s="103" t="str">
        <f t="shared" si="0"/>
        <v>Se encuentra en proceso, pero requiere continuar con acciones dirigidas a contar con dicho aspecto de control.</v>
      </c>
      <c r="I41" s="119">
        <f t="shared" si="1"/>
        <v>0.5</v>
      </c>
      <c r="J41" s="282">
        <f>+AVERAGE(I41:I45)</f>
        <v>0.7</v>
      </c>
    </row>
    <row r="42" spans="1:10" ht="41.4" x14ac:dyDescent="0.3">
      <c r="A42" s="1"/>
      <c r="B42" s="1"/>
      <c r="C42" s="118">
        <v>24</v>
      </c>
      <c r="D42" s="296"/>
      <c r="E42" s="104" t="str">
        <f>+IFERROR(INDEX(Hoja1!$E$2:$E$45,MATCH('Análisis Resultados'!C42,Hoja1!$H$2:$H$45,0)),"")</f>
        <v>Mecanismos de verificación de si se están o no mitigando los riesgos, o en su defecto, elaboración de planes de contingencia para subsanar sus consecuencias</v>
      </c>
      <c r="F42" s="105" t="str">
        <f>+IFERROR(VLOOKUP(C42,Hoja1!$H$2:$I$45,2,0),"")</f>
        <v>En proceso</v>
      </c>
      <c r="G42" s="106" t="str">
        <f t="shared" si="0"/>
        <v>Se encuentra en proceso, pero requiere continuar con acciones dirigidas a contar con dicho aspecto de control.</v>
      </c>
      <c r="I42" s="120">
        <f t="shared" si="1"/>
        <v>0.5</v>
      </c>
      <c r="J42" s="283"/>
    </row>
    <row r="43" spans="1:10" ht="85.5" customHeight="1" x14ac:dyDescent="0.3">
      <c r="A43" s="1"/>
      <c r="B43" s="1"/>
      <c r="C43" s="118">
        <v>25</v>
      </c>
      <c r="D43" s="296"/>
      <c r="E43" s="104" t="str">
        <f>+IFERROR(INDEX(Hoja1!$E$2:$E$45,MATCH('Análisis Resultados'!C43,Hoja1!$H$2:$H$45,0)),"")</f>
        <v>Un documento que consolide  los riesgos  y el tratamiento que se les da, incluyendo aquellos que conllevan posibles actos de corrupción y si la capacidad e infraestructura lo permite, los asociados con las tecnologías de la información y las comunicaciones</v>
      </c>
      <c r="F43" s="105" t="str">
        <f>+IFERROR(VLOOKUP(C43,Hoja1!$H$2:$I$45,2,0),"")</f>
        <v>En proceso</v>
      </c>
      <c r="G43" s="106" t="str">
        <f t="shared" si="0"/>
        <v>Se encuentra en proceso, pero requiere continuar con acciones dirigidas a contar con dicho aspecto de control.</v>
      </c>
      <c r="I43" s="120">
        <f t="shared" si="1"/>
        <v>0.5</v>
      </c>
      <c r="J43" s="283"/>
    </row>
    <row r="44" spans="1:10" ht="57" customHeight="1" x14ac:dyDescent="0.3">
      <c r="A44" s="1"/>
      <c r="B44" s="1"/>
      <c r="C44" s="118">
        <v>26</v>
      </c>
      <c r="D44" s="296"/>
      <c r="E44" s="104" t="str">
        <f>+IFERROR(INDEX(Hoja1!$E$2:$E$45,MATCH('Análisis Resultados'!C44,Hoja1!$H$2:$H$45,0)),"")</f>
        <v>Planes, acciones o estrategias que permitan subsanar las consecuencias de la materialización de los riesgos, cuando se presentan</v>
      </c>
      <c r="F44" s="105" t="str">
        <f>+IFERROR(VLOOKUP(C44,Hoja1!$H$2:$I$45,2,0),"")</f>
        <v>Si</v>
      </c>
      <c r="G44" s="106" t="str">
        <f t="shared" si="0"/>
        <v>Existe requerimiento pero se requiere actividades  dirigidas a su mantenimiento dentro del marco de las lineas de defensa.</v>
      </c>
      <c r="I44" s="120">
        <f t="shared" si="1"/>
        <v>1</v>
      </c>
      <c r="J44" s="283"/>
    </row>
    <row r="45" spans="1:10" ht="57" customHeight="1" thickBot="1" x14ac:dyDescent="0.35">
      <c r="A45" s="1"/>
      <c r="B45" s="1"/>
      <c r="C45" s="118">
        <v>27</v>
      </c>
      <c r="D45" s="297"/>
      <c r="E45" s="107" t="str">
        <f>+IFERROR(INDEX(Hoja1!$E$2:$E$45,MATCH('Análisis Resultados'!C45,Hoja1!$H$2:$H$45,0)),"")</f>
        <v>Un plan anticorrupción y de servicio al ciudadano con los temas que le aplican, publicado en algún medio para conocimiento de la ciudadanía</v>
      </c>
      <c r="F45" s="108" t="str">
        <f>+IFERROR(VLOOKUP(C45,Hoja1!$H$2:$I$45,2,0),"")</f>
        <v>Si</v>
      </c>
      <c r="G45" s="109" t="str">
        <f t="shared" si="0"/>
        <v>Existe requerimiento pero se requiere actividades  dirigidas a su mantenimiento dentro del marco de las lineas de defensa.</v>
      </c>
      <c r="I45" s="121">
        <f t="shared" si="1"/>
        <v>1</v>
      </c>
      <c r="J45" s="298"/>
    </row>
    <row r="46" spans="1:10" ht="63.75" customHeight="1" x14ac:dyDescent="0.3">
      <c r="A46" s="1"/>
      <c r="B46" s="1"/>
      <c r="C46" s="118">
        <v>28</v>
      </c>
      <c r="D46" s="293" t="s">
        <v>87</v>
      </c>
      <c r="E46" s="113" t="str">
        <f>+IFERROR(INDEX(Hoja1!$E$2:$E$45,MATCH('Análisis Resultados'!C46,Hoja1!$H$2:$H$45,0)),"")</f>
        <v>Responsables de la información institucional</v>
      </c>
      <c r="F46" s="114" t="str">
        <f>+IFERROR(VLOOKUP(C46,Hoja1!$H$2:$I$45,2,0),"")</f>
        <v>En proceso</v>
      </c>
      <c r="G46" s="115" t="str">
        <f t="shared" si="0"/>
        <v>Se encuentra en proceso, pero requiere continuar con acciones dirigidas a contar con dicho aspecto de control.</v>
      </c>
      <c r="I46" s="123">
        <f t="shared" si="1"/>
        <v>0.5</v>
      </c>
      <c r="J46" s="294">
        <f>+AVERAGE(I46:I52)</f>
        <v>0.6428571428571429</v>
      </c>
    </row>
    <row r="47" spans="1:10" ht="92.25" customHeight="1" x14ac:dyDescent="0.3">
      <c r="A47" s="1"/>
      <c r="B47" s="1"/>
      <c r="C47" s="118">
        <v>29</v>
      </c>
      <c r="D47" s="293"/>
      <c r="E47" s="104" t="str">
        <f>+IFERROR(INDEX(Hoja1!$E$2:$E$45,MATCH('Análisis Resultados'!C47,Hoja1!$H$2:$H$45,0)),"")</f>
        <v>Canales de comunicación con los ciudadanos</v>
      </c>
      <c r="F47" s="105" t="str">
        <f>+IFERROR(VLOOKUP(C47,Hoja1!$H$2:$I$45,2,0),"")</f>
        <v>En proceso</v>
      </c>
      <c r="G47" s="116" t="str">
        <f t="shared" si="0"/>
        <v>Se encuentra en proceso, pero requiere continuar con acciones dirigidas a contar con dicho aspecto de control.</v>
      </c>
      <c r="I47" s="124">
        <f t="shared" si="1"/>
        <v>0.5</v>
      </c>
      <c r="J47" s="294"/>
    </row>
    <row r="48" spans="1:10" ht="66.75" customHeight="1" x14ac:dyDescent="0.3">
      <c r="A48" s="1"/>
      <c r="B48" s="1"/>
      <c r="C48" s="118">
        <v>30</v>
      </c>
      <c r="D48" s="293"/>
      <c r="E48" s="104" t="str">
        <f>+IFERROR(INDEX(Hoja1!$E$2:$E$45,MATCH('Análisis Resultados'!C48,Hoja1!$H$2:$H$45,0)),"")</f>
        <v>Identificación de información que produce en el marco de su gestión (Para los ciudadanos, organismos de control, organismos gubernamentales, entre otros)</v>
      </c>
      <c r="F48" s="105" t="str">
        <f>+IFERROR(VLOOKUP(C48,Hoja1!$H$2:$I$45,2,0),"")</f>
        <v>En proceso</v>
      </c>
      <c r="G48" s="116" t="str">
        <f t="shared" si="0"/>
        <v>Se encuentra en proceso, pero requiere continuar con acciones dirigidas a contar con dicho aspecto de control.</v>
      </c>
      <c r="I48" s="124">
        <f t="shared" si="1"/>
        <v>0.5</v>
      </c>
      <c r="J48" s="294"/>
    </row>
    <row r="49" spans="1:10" ht="60" customHeight="1" x14ac:dyDescent="0.3">
      <c r="A49" s="1"/>
      <c r="B49" s="1"/>
      <c r="C49" s="118">
        <v>31</v>
      </c>
      <c r="D49" s="293"/>
      <c r="E49" s="104" t="str">
        <f>+IFERROR(INDEX(Hoja1!$E$2:$E$45,MATCH('Análisis Resultados'!C49,Hoja1!$H$2:$H$45,0)),"")</f>
        <v>Identificación de información necesaria para la operación de la entidad (normograma, presupuesto, talento humano, infraestructura física y tecnológica)</v>
      </c>
      <c r="F49" s="105" t="str">
        <f>+IFERROR(VLOOKUP(C49,Hoja1!$H$2:$I$45,2,0),"")</f>
        <v>En proceso</v>
      </c>
      <c r="G49" s="116" t="str">
        <f t="shared" si="0"/>
        <v>Se encuentra en proceso, pero requiere continuar con acciones dirigidas a contar con dicho aspecto de control.</v>
      </c>
      <c r="I49" s="124">
        <f t="shared" si="1"/>
        <v>0.5</v>
      </c>
      <c r="J49" s="294"/>
    </row>
    <row r="50" spans="1:10" ht="57" customHeight="1" x14ac:dyDescent="0.3">
      <c r="A50" s="1"/>
      <c r="B50" s="1"/>
      <c r="C50" s="118">
        <v>32</v>
      </c>
      <c r="D50" s="293"/>
      <c r="E50" s="104" t="str">
        <f>+IFERROR(INDEX(Hoja1!$E$2:$E$45,MATCH('Análisis Resultados'!C50,Hoja1!$H$2:$H$45,0)),"")</f>
        <v>Si su capacidad e infraestructura lo permite, tecnologías de la información y las comunicaciones que soporten estos procesos</v>
      </c>
      <c r="F50" s="105" t="str">
        <f>+IFERROR(VLOOKUP(C50,Hoja1!$H$2:$I$45,2,0),"")</f>
        <v>En proceso</v>
      </c>
      <c r="G50" s="116" t="str">
        <f t="shared" si="0"/>
        <v>Se encuentra en proceso, pero requiere continuar con acciones dirigidas a contar con dicho aspecto de control.</v>
      </c>
      <c r="I50" s="124">
        <f t="shared" si="1"/>
        <v>0.5</v>
      </c>
      <c r="J50" s="294"/>
    </row>
    <row r="51" spans="1:10" ht="57" customHeight="1" x14ac:dyDescent="0.3">
      <c r="A51" s="1"/>
      <c r="B51" s="1"/>
      <c r="C51" s="118">
        <v>33</v>
      </c>
      <c r="D51" s="293"/>
      <c r="E51" s="104" t="str">
        <f>+IFERROR(INDEX(Hoja1!$E$2:$E$45,MATCH('Análisis Resultados'!C51,Hoja1!$H$2:$H$45,0)),"")</f>
        <v>Canales de comunicación o mecanismos de reporte de información a otros organismos gubernamentales o de control</v>
      </c>
      <c r="F51" s="105" t="str">
        <f>+IFERROR(VLOOKUP(C51,Hoja1!$H$2:$I$45,2,0),"")</f>
        <v>Si</v>
      </c>
      <c r="G51" s="116" t="str">
        <f t="shared" si="0"/>
        <v>Existe requerimiento pero se requiere actividades  dirigidas a su mantenimiento dentro del marco de las lineas de defensa.</v>
      </c>
      <c r="I51" s="124">
        <f t="shared" si="1"/>
        <v>1</v>
      </c>
      <c r="J51" s="294"/>
    </row>
    <row r="52" spans="1:10" ht="31.2" thickBot="1" x14ac:dyDescent="0.35">
      <c r="A52" s="1"/>
      <c r="B52" s="1"/>
      <c r="C52" s="118">
        <v>34</v>
      </c>
      <c r="D52" s="293"/>
      <c r="E52" s="110" t="str">
        <f>+IFERROR(INDEX(Hoja1!$E$2:$E$45,MATCH('Análisis Resultados'!C52,Hoja1!$H$2:$H$45,0)),"")</f>
        <v xml:space="preserve">Lineamientos para dar tratamiento a la información de carácter reservado </v>
      </c>
      <c r="F52" s="111" t="str">
        <f>+IFERROR(VLOOKUP(C52,Hoja1!$H$2:$I$45,2,0),"")</f>
        <v>Si</v>
      </c>
      <c r="G52" s="117" t="str">
        <f t="shared" si="0"/>
        <v>Existe requerimiento pero se requiere actividades  dirigidas a su mantenimiento dentro del marco de las lineas de defensa.</v>
      </c>
      <c r="I52" s="125">
        <f t="shared" si="1"/>
        <v>1</v>
      </c>
      <c r="J52" s="294"/>
    </row>
    <row r="53" spans="1:10" ht="41.25" customHeight="1" x14ac:dyDescent="0.3">
      <c r="A53" s="1"/>
      <c r="B53" s="1"/>
      <c r="C53" s="118">
        <v>35</v>
      </c>
      <c r="D53" s="287" t="s">
        <v>97</v>
      </c>
      <c r="E53" s="101" t="str">
        <f>+IFERROR(INDEX(Hoja1!$E$2:$E$45,MATCH('Análisis Resultados'!C53,Hoja1!$H$2:$H$45,0)),"")</f>
        <v>La entidad participa en el  Comité Municipal de Auditoría?</v>
      </c>
      <c r="F53" s="102" t="str">
        <f>+IFERROR(VLOOKUP(C53,Hoja1!$H$2:$I$45,2,0),"")</f>
        <v>No</v>
      </c>
      <c r="G53" s="103" t="str">
        <f t="shared" si="0"/>
        <v>No se encuentra el aspecto  por lo tanto la entidad debera generar acciones dirigidas a que se cumpla con el requerimiento.</v>
      </c>
      <c r="I53" s="119">
        <f t="shared" si="1"/>
        <v>0</v>
      </c>
      <c r="J53" s="290">
        <f>+AVERAGE(I53:I62)</f>
        <v>0.65</v>
      </c>
    </row>
    <row r="54" spans="1:10" ht="58.5" customHeight="1" x14ac:dyDescent="0.3">
      <c r="A54" s="1"/>
      <c r="B54" s="1"/>
      <c r="C54" s="118">
        <v>36</v>
      </c>
      <c r="D54" s="288"/>
      <c r="E54" s="104" t="str">
        <f>+IFERROR(INDEX(Hoja1!$E$2:$E$45,MATCH('Análisis Resultados'!C54,Hoja1!$H$2:$H$45,0)),"")</f>
        <v>Evitar que los problemas (riesgos) obstaculicen el cumplimiento de los objetivos.</v>
      </c>
      <c r="F54" s="105" t="str">
        <f>+IFERROR(VLOOKUP(C54,Hoja1!$H$2:$I$45,2,0),"")</f>
        <v>En proceso</v>
      </c>
      <c r="G54" s="106" t="str">
        <f t="shared" si="0"/>
        <v>Se encuentra en proceso, pero requiere continuar con acciones dirigidas a contar con dicho aspecto de control.</v>
      </c>
      <c r="I54" s="120">
        <f t="shared" si="1"/>
        <v>0.5</v>
      </c>
      <c r="J54" s="291"/>
    </row>
    <row r="55" spans="1:10" s="1" customFormat="1" ht="84.75" customHeight="1" x14ac:dyDescent="0.3">
      <c r="C55" s="118">
        <v>37</v>
      </c>
      <c r="D55" s="288"/>
      <c r="E55" s="104" t="str">
        <f>+IFERROR(INDEX(Hoja1!$E$2:$E$45,MATCH('Análisis Resultados'!C55,Hoja1!$H$2:$H$45,0)),"")</f>
        <v>Controlar los puntos críticos en los procesos.</v>
      </c>
      <c r="F55" s="105" t="str">
        <f>+IFERROR(VLOOKUP(C55,Hoja1!$H$2:$I$45,2,0),"")</f>
        <v>En proceso</v>
      </c>
      <c r="G55" s="106" t="str">
        <f t="shared" si="0"/>
        <v>Se encuentra en proceso, pero requiere continuar con acciones dirigidas a contar con dicho aspecto de control.</v>
      </c>
      <c r="I55" s="120">
        <f t="shared" si="1"/>
        <v>0.5</v>
      </c>
      <c r="J55" s="291"/>
    </row>
    <row r="56" spans="1:10" s="1" customFormat="1" ht="78.75" customHeight="1" x14ac:dyDescent="0.3">
      <c r="C56" s="118">
        <v>38</v>
      </c>
      <c r="D56" s="288"/>
      <c r="E56" s="104" t="str">
        <f>+IFERROR(INDEX(Hoja1!$E$2:$E$45,MATCH('Análisis Resultados'!C56,Hoja1!$H$2:$H$45,0)),"")</f>
        <v>Diseñar acciones adecuadas para controlar los problemas que afectan el cumplimiento de las metas y objetivos institucionales (riesgos).</v>
      </c>
      <c r="F56" s="105" t="str">
        <f>+IFERROR(VLOOKUP(C56,Hoja1!$H$2:$I$45,2,0),"")</f>
        <v>En proceso</v>
      </c>
      <c r="G56" s="106" t="str">
        <f t="shared" si="0"/>
        <v>Se encuentra en proceso, pero requiere continuar con acciones dirigidas a contar con dicho aspecto de control.</v>
      </c>
      <c r="I56" s="120">
        <f t="shared" si="1"/>
        <v>0.5</v>
      </c>
      <c r="J56" s="291"/>
    </row>
    <row r="57" spans="1:10" s="1" customFormat="1" ht="54.75" customHeight="1" x14ac:dyDescent="0.3">
      <c r="C57" s="118">
        <v>39</v>
      </c>
      <c r="D57" s="288"/>
      <c r="E57" s="104" t="str">
        <f>+IFERROR(INDEX(Hoja1!$E$2:$E$45,MATCH('Análisis Resultados'!C57,Hoja1!$H$2:$H$45,0)),"")</f>
        <v>Ejecutar las acciones de acuerdo a como se diseñaron previamente.</v>
      </c>
      <c r="F57" s="105" t="str">
        <f>+IFERROR(VLOOKUP(C57,Hoja1!$H$2:$I$45,2,0),"")</f>
        <v>En proceso</v>
      </c>
      <c r="G57" s="106" t="str">
        <f t="shared" si="0"/>
        <v>Se encuentra en proceso, pero requiere continuar con acciones dirigidas a contar con dicho aspecto de control.</v>
      </c>
      <c r="I57" s="120">
        <f t="shared" si="1"/>
        <v>0.5</v>
      </c>
      <c r="J57" s="291"/>
    </row>
    <row r="58" spans="1:10" s="1" customFormat="1" ht="68.25" customHeight="1" x14ac:dyDescent="0.3">
      <c r="C58" s="118">
        <v>40</v>
      </c>
      <c r="D58" s="288"/>
      <c r="E58" s="104" t="str">
        <f>+IFERROR(INDEX(Hoja1!$E$2:$E$45,MATCH('Análisis Resultados'!C58,Hoja1!$H$2:$H$45,0)),"")</f>
        <v>No se gestionan los problemas que afectan el cumplimiento de las funciones y objetivos institucionales(riesgos).</v>
      </c>
      <c r="F58" s="105" t="str">
        <f>+IFERROR(VLOOKUP(C58,Hoja1!$H$2:$I$45,2,0),"")</f>
        <v>En proceso</v>
      </c>
      <c r="G58" s="106" t="str">
        <f t="shared" si="0"/>
        <v>Se encuentra en proceso, pero requiere continuar con acciones dirigidas a contar con dicho aspecto de control.</v>
      </c>
      <c r="I58" s="120">
        <f t="shared" si="1"/>
        <v>0.5</v>
      </c>
      <c r="J58" s="291"/>
    </row>
    <row r="59" spans="1:10" s="1" customFormat="1" ht="45" customHeight="1" x14ac:dyDescent="0.3">
      <c r="C59" s="118">
        <v>41</v>
      </c>
      <c r="D59" s="288"/>
      <c r="E59" s="104" t="str">
        <f>+IFERROR(INDEX(Hoja1!$E$2:$E$45,MATCH('Análisis Resultados'!C59,Hoja1!$H$2:$H$45,0)),"")</f>
        <v>Mecanismos de evaluación de la gestión (cronogramas, indicadores, listas de chequeo u otros)</v>
      </c>
      <c r="F59" s="105" t="str">
        <f>+IFERROR(VLOOKUP(C59,Hoja1!$H$2:$I$45,2,0),"")</f>
        <v>Si</v>
      </c>
      <c r="G59" s="106" t="str">
        <f t="shared" si="0"/>
        <v>Existe requerimiento pero se requiere actividades  dirigidas a su mantenimiento dentro del marco de las lineas de defensa.</v>
      </c>
      <c r="I59" s="120">
        <f t="shared" si="1"/>
        <v>1</v>
      </c>
      <c r="J59" s="291"/>
    </row>
    <row r="60" spans="1:10" s="1" customFormat="1" ht="51.75" customHeight="1" x14ac:dyDescent="0.3">
      <c r="C60" s="118">
        <v>42</v>
      </c>
      <c r="D60" s="288"/>
      <c r="E60" s="104" t="str">
        <f>+IFERROR(INDEX(Hoja1!$E$2:$E$45,MATCH('Análisis Resultados'!C60,Hoja1!$H$2:$H$45,0)),"")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60" s="105" t="str">
        <f>+IFERROR(VLOOKUP(C60,Hoja1!$H$2:$I$45,2,0),"")</f>
        <v>Si</v>
      </c>
      <c r="G60" s="106" t="str">
        <f t="shared" si="0"/>
        <v>Existe requerimiento pero se requiere actividades  dirigidas a su mantenimiento dentro del marco de las lineas de defensa.</v>
      </c>
      <c r="I60" s="120">
        <f t="shared" si="1"/>
        <v>1</v>
      </c>
      <c r="J60" s="291"/>
    </row>
    <row r="61" spans="1:10" s="1" customFormat="1" ht="84" customHeight="1" x14ac:dyDescent="0.3">
      <c r="C61" s="118">
        <v>43</v>
      </c>
      <c r="D61" s="288"/>
      <c r="E61" s="104" t="str">
        <f>+IFERROR(INDEX(Hoja1!$E$2:$E$45,MATCH('Análisis Resultados'!C61,Hoja1!$H$2:$H$45,0)),"")</f>
        <v>Medidas correctivas en caso de detectarse deficiencias en los ejercicios de evaluación, seguimiento o auditoría</v>
      </c>
      <c r="F61" s="105" t="str">
        <f>+IFERROR(VLOOKUP(C61,Hoja1!$H$2:$I$45,2,0),"")</f>
        <v>Si</v>
      </c>
      <c r="G61" s="106" t="str">
        <f t="shared" si="0"/>
        <v>Existe requerimiento pero se requiere actividades  dirigidas a su mantenimiento dentro del marco de las lineas de defensa.</v>
      </c>
      <c r="I61" s="120">
        <f t="shared" si="1"/>
        <v>1</v>
      </c>
      <c r="J61" s="291"/>
    </row>
    <row r="62" spans="1:10" s="1" customFormat="1" ht="60" customHeight="1" thickBot="1" x14ac:dyDescent="0.35">
      <c r="C62" s="118">
        <v>44</v>
      </c>
      <c r="D62" s="289"/>
      <c r="E62" s="107" t="str">
        <f>+IFERROR(INDEX(Hoja1!$E$2:$E$45,MATCH('Análisis Resultados'!C62,Hoja1!$H$2:$H$45,0)),"")</f>
        <v>Seguimiento a los planes de mejoramiento suscritos con instancias de control internas o externas</v>
      </c>
      <c r="F62" s="108" t="str">
        <f>+IFERROR(VLOOKUP(C62,Hoja1!$H$2:$I$45,2,0),"")</f>
        <v>Si</v>
      </c>
      <c r="G62" s="109" t="str">
        <f t="shared" si="0"/>
        <v>Existe requerimiento pero se requiere actividades  dirigidas a su mantenimiento dentro del marco de las lineas de defensa.</v>
      </c>
      <c r="I62" s="121">
        <f t="shared" si="1"/>
        <v>1</v>
      </c>
      <c r="J62" s="292"/>
    </row>
    <row r="63" spans="1:10" s="1" customFormat="1" x14ac:dyDescent="0.3"/>
    <row r="64" spans="1:10" s="1" customFormat="1" x14ac:dyDescent="0.3"/>
    <row r="65" spans="1:2" s="1" customFormat="1" x14ac:dyDescent="0.3"/>
    <row r="66" spans="1:2" s="1" customFormat="1" x14ac:dyDescent="0.3"/>
    <row r="67" spans="1:2" s="1" customFormat="1" x14ac:dyDescent="0.3"/>
    <row r="68" spans="1:2" s="1" customFormat="1" x14ac:dyDescent="0.3"/>
    <row r="69" spans="1:2" s="1" customFormat="1" x14ac:dyDescent="0.3"/>
    <row r="70" spans="1:2" s="1" customFormat="1" x14ac:dyDescent="0.3"/>
    <row r="71" spans="1:2" x14ac:dyDescent="0.3">
      <c r="A71" s="1"/>
      <c r="B71" s="1"/>
    </row>
    <row r="72" spans="1:2" x14ac:dyDescent="0.3">
      <c r="A72" s="1"/>
      <c r="B72" s="1"/>
    </row>
    <row r="73" spans="1:2" x14ac:dyDescent="0.3">
      <c r="A73" s="1"/>
      <c r="B73" s="1"/>
    </row>
    <row r="74" spans="1:2" x14ac:dyDescent="0.3">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J31:J40"/>
    <mergeCell ref="C12:D12"/>
    <mergeCell ref="E12:F12"/>
    <mergeCell ref="J19:J30"/>
    <mergeCell ref="D53:D62"/>
    <mergeCell ref="J53:J62"/>
    <mergeCell ref="D46:D52"/>
    <mergeCell ref="J46:J52"/>
    <mergeCell ref="D41:D45"/>
    <mergeCell ref="J41:J45"/>
    <mergeCell ref="D31:D40"/>
    <mergeCell ref="C11:D11"/>
    <mergeCell ref="E11:F11"/>
    <mergeCell ref="J17:J18"/>
    <mergeCell ref="D19:D30"/>
    <mergeCell ref="C17:C18"/>
    <mergeCell ref="D17:E17"/>
    <mergeCell ref="F17:F18"/>
    <mergeCell ref="G17:G18"/>
    <mergeCell ref="I17:I18"/>
    <mergeCell ref="C7:K7"/>
    <mergeCell ref="C9:D9"/>
    <mergeCell ref="E9:F9"/>
    <mergeCell ref="C10:D10"/>
    <mergeCell ref="E10:F10"/>
  </mergeCells>
  <conditionalFormatting sqref="I19:I62">
    <cfRule type="cellIs" dxfId="28" priority="4" operator="between">
      <formula>0.75</formula>
      <formula>1</formula>
    </cfRule>
    <cfRule type="cellIs" dxfId="27" priority="5" operator="between">
      <formula>0.5</formula>
      <formula>0.74</formula>
    </cfRule>
    <cfRule type="cellIs" dxfId="26" priority="6" operator="between">
      <formula>0</formula>
      <formula>0.49</formula>
    </cfRule>
  </conditionalFormatting>
  <conditionalFormatting sqref="J19:J31 J41 J46 J53">
    <cfRule type="cellIs" priority="1" operator="between">
      <formula>0.75</formula>
      <formula>1</formula>
    </cfRule>
    <cfRule type="cellIs" dxfId="25" priority="2" operator="between">
      <formula>0.5</formula>
      <formula>0.75</formula>
    </cfRule>
    <cfRule type="cellIs" dxfId="24"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DC3A8-BDA6-B84D-83CC-CACD8E8C9135}">
  <sheetPr>
    <pageSetUpPr fitToPage="1"/>
  </sheetPr>
  <dimension ref="B1:V49"/>
  <sheetViews>
    <sheetView tabSelected="1" view="pageBreakPreview" zoomScale="52" zoomScaleNormal="72" zoomScaleSheetLayoutView="52" workbookViewId="0">
      <selection activeCell="I16" sqref="I16"/>
    </sheetView>
  </sheetViews>
  <sheetFormatPr baseColWidth="10" defaultColWidth="11.44140625" defaultRowHeight="14.4" x14ac:dyDescent="0.3"/>
  <cols>
    <col min="1" max="1" width="3.109375" style="1" customWidth="1"/>
    <col min="2" max="2" width="3.44140625" style="1" customWidth="1"/>
    <col min="3" max="3" width="35.44140625" style="1" customWidth="1"/>
    <col min="4" max="4" width="2.44140625" style="1" customWidth="1"/>
    <col min="5" max="5" width="38.6640625" style="1" customWidth="1"/>
    <col min="6" max="6" width="10.88671875" style="1" customWidth="1"/>
    <col min="7" max="7" width="23.44140625" style="1" customWidth="1"/>
    <col min="8" max="8" width="7.44140625" style="1" customWidth="1"/>
    <col min="9" max="9" width="68.109375" style="1" customWidth="1"/>
    <col min="10" max="10" width="5.88671875" style="1" customWidth="1"/>
    <col min="11" max="11" width="28.109375" style="1" customWidth="1"/>
    <col min="12" max="12" width="4.33203125" style="1" customWidth="1"/>
    <col min="13" max="13" width="78.6640625" style="1" customWidth="1"/>
    <col min="14" max="14" width="5.88671875" style="1" customWidth="1"/>
    <col min="15" max="15" width="24.88671875" style="1" customWidth="1"/>
    <col min="16" max="16" width="7" style="1" customWidth="1"/>
    <col min="17" max="16384" width="11.44140625" style="1"/>
  </cols>
  <sheetData>
    <row r="1" spans="2:16" x14ac:dyDescent="0.3">
      <c r="B1" s="303"/>
      <c r="C1" s="303"/>
      <c r="D1" s="306" t="s">
        <v>213</v>
      </c>
      <c r="E1" s="306"/>
      <c r="F1" s="306"/>
      <c r="G1" s="306"/>
      <c r="H1" s="306"/>
      <c r="I1" s="306"/>
      <c r="J1" s="306"/>
      <c r="K1" s="306"/>
      <c r="L1" s="306"/>
      <c r="M1" s="302" t="s">
        <v>215</v>
      </c>
      <c r="N1" s="302"/>
      <c r="O1" s="303" t="s">
        <v>219</v>
      </c>
      <c r="P1" s="303"/>
    </row>
    <row r="2" spans="2:16" x14ac:dyDescent="0.3">
      <c r="B2" s="303"/>
      <c r="C2" s="303"/>
      <c r="D2" s="306"/>
      <c r="E2" s="306"/>
      <c r="F2" s="306"/>
      <c r="G2" s="306"/>
      <c r="H2" s="306"/>
      <c r="I2" s="306"/>
      <c r="J2" s="306"/>
      <c r="K2" s="306"/>
      <c r="L2" s="306"/>
      <c r="M2" s="302" t="s">
        <v>216</v>
      </c>
      <c r="N2" s="302"/>
      <c r="O2" s="304" t="s">
        <v>220</v>
      </c>
      <c r="P2" s="304"/>
    </row>
    <row r="3" spans="2:16" x14ac:dyDescent="0.3">
      <c r="B3" s="303"/>
      <c r="C3" s="303"/>
      <c r="D3" s="306" t="s">
        <v>214</v>
      </c>
      <c r="E3" s="306"/>
      <c r="F3" s="306"/>
      <c r="G3" s="306"/>
      <c r="H3" s="306"/>
      <c r="I3" s="306"/>
      <c r="J3" s="306"/>
      <c r="K3" s="306"/>
      <c r="L3" s="306"/>
      <c r="M3" s="302" t="s">
        <v>217</v>
      </c>
      <c r="N3" s="302"/>
      <c r="O3" s="305">
        <v>45672</v>
      </c>
      <c r="P3" s="303"/>
    </row>
    <row r="4" spans="2:16" x14ac:dyDescent="0.3">
      <c r="B4" s="303"/>
      <c r="C4" s="303"/>
      <c r="D4" s="306"/>
      <c r="E4" s="306"/>
      <c r="F4" s="306"/>
      <c r="G4" s="306"/>
      <c r="H4" s="306"/>
      <c r="I4" s="306"/>
      <c r="J4" s="306"/>
      <c r="K4" s="306"/>
      <c r="L4" s="306"/>
      <c r="M4" s="302" t="s">
        <v>218</v>
      </c>
      <c r="N4" s="302"/>
      <c r="O4" s="303" t="s">
        <v>221</v>
      </c>
      <c r="P4" s="303"/>
    </row>
    <row r="5" spans="2:16" ht="15" thickBot="1" x14ac:dyDescent="0.35"/>
    <row r="6" spans="2:16" ht="18" customHeight="1" thickTop="1" x14ac:dyDescent="0.3">
      <c r="B6" s="2"/>
      <c r="C6" s="3"/>
      <c r="D6" s="3"/>
      <c r="E6" s="3"/>
      <c r="F6" s="3"/>
      <c r="G6" s="3"/>
      <c r="H6" s="3"/>
      <c r="I6" s="3"/>
      <c r="J6" s="3"/>
      <c r="K6" s="3"/>
      <c r="L6" s="3"/>
      <c r="M6" s="3"/>
      <c r="N6" s="3"/>
      <c r="O6" s="3"/>
      <c r="P6" s="4"/>
    </row>
    <row r="7" spans="2:16" ht="18" customHeight="1" x14ac:dyDescent="0.3">
      <c r="B7" s="5"/>
      <c r="E7" s="311" t="s">
        <v>124</v>
      </c>
      <c r="F7" s="313" t="s">
        <v>208</v>
      </c>
      <c r="G7" s="313"/>
      <c r="H7" s="313"/>
      <c r="I7" s="313"/>
      <c r="J7" s="313"/>
      <c r="K7" s="313"/>
      <c r="L7" s="313"/>
      <c r="M7" s="313"/>
      <c r="N7" s="6"/>
      <c r="O7" s="6"/>
      <c r="P7" s="7"/>
    </row>
    <row r="8" spans="2:16" ht="18" customHeight="1" x14ac:dyDescent="0.3">
      <c r="B8" s="5"/>
      <c r="E8" s="312"/>
      <c r="F8" s="313"/>
      <c r="G8" s="313"/>
      <c r="H8" s="313"/>
      <c r="I8" s="313"/>
      <c r="J8" s="313"/>
      <c r="K8" s="313"/>
      <c r="L8" s="313"/>
      <c r="M8" s="313"/>
      <c r="N8" s="6"/>
      <c r="O8" s="6"/>
      <c r="P8" s="7"/>
    </row>
    <row r="9" spans="2:16" ht="41.25" customHeight="1" x14ac:dyDescent="0.3">
      <c r="B9" s="5"/>
      <c r="E9" s="140" t="s">
        <v>125</v>
      </c>
      <c r="F9" s="314" t="s">
        <v>253</v>
      </c>
      <c r="G9" s="315"/>
      <c r="H9" s="315"/>
      <c r="I9" s="315"/>
      <c r="J9" s="315"/>
      <c r="K9" s="315"/>
      <c r="L9" s="315"/>
      <c r="M9" s="316"/>
      <c r="N9" s="8"/>
      <c r="O9" s="8"/>
      <c r="P9" s="7"/>
    </row>
    <row r="10" spans="2:16" ht="18" customHeight="1" thickBot="1" x14ac:dyDescent="0.35">
      <c r="B10" s="5"/>
      <c r="E10" s="9"/>
      <c r="F10" s="8"/>
      <c r="G10" s="8"/>
      <c r="H10" s="8"/>
      <c r="I10" s="8"/>
      <c r="J10" s="8"/>
      <c r="K10" s="8"/>
      <c r="L10" s="8"/>
      <c r="P10" s="7"/>
    </row>
    <row r="11" spans="2:16" ht="93" customHeight="1" thickBot="1" x14ac:dyDescent="0.35">
      <c r="B11" s="5"/>
      <c r="I11" s="317" t="s">
        <v>126</v>
      </c>
      <c r="J11" s="318"/>
      <c r="K11" s="319"/>
      <c r="M11" s="141">
        <f>+(G29+G31+G33+G35+G37)/5</f>
        <v>0.66600000000000004</v>
      </c>
      <c r="N11" s="10"/>
      <c r="O11" s="10"/>
      <c r="P11" s="7"/>
    </row>
    <row r="12" spans="2:16" ht="18" customHeight="1" x14ac:dyDescent="0.3">
      <c r="B12" s="5"/>
      <c r="M12" s="11"/>
      <c r="N12" s="11"/>
      <c r="O12" s="11"/>
      <c r="P12" s="7"/>
    </row>
    <row r="13" spans="2:16" ht="18" customHeight="1" x14ac:dyDescent="0.3">
      <c r="B13" s="5"/>
      <c r="P13" s="7"/>
    </row>
    <row r="14" spans="2:16" x14ac:dyDescent="0.3">
      <c r="B14" s="5"/>
      <c r="P14" s="7"/>
    </row>
    <row r="15" spans="2:16" x14ac:dyDescent="0.3">
      <c r="B15" s="5"/>
      <c r="P15" s="7"/>
    </row>
    <row r="16" spans="2:16" x14ac:dyDescent="0.3">
      <c r="B16" s="5"/>
      <c r="P16" s="7"/>
    </row>
    <row r="17" spans="2:22" x14ac:dyDescent="0.3">
      <c r="B17" s="5"/>
      <c r="P17" s="7"/>
    </row>
    <row r="18" spans="2:22" x14ac:dyDescent="0.3">
      <c r="B18" s="5"/>
      <c r="P18" s="7"/>
    </row>
    <row r="19" spans="2:22" x14ac:dyDescent="0.3">
      <c r="B19" s="5"/>
      <c r="P19" s="7"/>
    </row>
    <row r="20" spans="2:22" x14ac:dyDescent="0.3">
      <c r="B20" s="5"/>
      <c r="P20" s="7"/>
    </row>
    <row r="21" spans="2:22" ht="22.8" x14ac:dyDescent="0.3">
      <c r="B21" s="5"/>
      <c r="C21" s="320" t="s">
        <v>127</v>
      </c>
      <c r="D21" s="321"/>
      <c r="E21" s="321"/>
      <c r="F21" s="321"/>
      <c r="G21" s="321"/>
      <c r="H21" s="321"/>
      <c r="I21" s="321"/>
      <c r="J21" s="321"/>
      <c r="K21" s="321"/>
      <c r="L21" s="321"/>
      <c r="M21" s="322"/>
      <c r="N21" s="12"/>
      <c r="O21" s="12"/>
      <c r="P21" s="7"/>
    </row>
    <row r="22" spans="2:22" ht="15.75" customHeight="1" thickBot="1" x14ac:dyDescent="0.35">
      <c r="B22" s="5"/>
      <c r="C22" s="13"/>
      <c r="D22" s="13"/>
      <c r="E22" s="13"/>
      <c r="F22" s="13"/>
      <c r="G22" s="13"/>
      <c r="H22" s="13"/>
      <c r="I22" s="13"/>
      <c r="J22" s="13"/>
      <c r="K22" s="13"/>
      <c r="L22" s="13"/>
      <c r="M22" s="13"/>
      <c r="N22" s="14"/>
      <c r="O22" s="14"/>
      <c r="P22" s="7"/>
    </row>
    <row r="23" spans="2:22" ht="141.75" customHeight="1" x14ac:dyDescent="0.3">
      <c r="B23" s="5"/>
      <c r="C23" s="323" t="s">
        <v>128</v>
      </c>
      <c r="D23" s="324"/>
      <c r="E23" s="128" t="s">
        <v>76</v>
      </c>
      <c r="F23" s="328" t="s">
        <v>254</v>
      </c>
      <c r="G23" s="329"/>
      <c r="H23" s="329"/>
      <c r="I23" s="329"/>
      <c r="J23" s="329"/>
      <c r="K23" s="329"/>
      <c r="L23" s="329"/>
      <c r="M23" s="330"/>
      <c r="N23" s="142"/>
      <c r="O23" s="142"/>
      <c r="P23" s="7"/>
    </row>
    <row r="24" spans="2:22" ht="105.75" customHeight="1" x14ac:dyDescent="0.3">
      <c r="B24" s="5"/>
      <c r="C24" s="307" t="s">
        <v>129</v>
      </c>
      <c r="D24" s="308"/>
      <c r="E24" s="129" t="s">
        <v>36</v>
      </c>
      <c r="F24" s="331" t="s">
        <v>255</v>
      </c>
      <c r="G24" s="332"/>
      <c r="H24" s="332"/>
      <c r="I24" s="332"/>
      <c r="J24" s="332"/>
      <c r="K24" s="332"/>
      <c r="L24" s="332"/>
      <c r="M24" s="333"/>
      <c r="N24" s="142"/>
      <c r="O24" s="142"/>
      <c r="P24" s="7"/>
    </row>
    <row r="25" spans="2:22" ht="143.25" customHeight="1" thickBot="1" x14ac:dyDescent="0.35">
      <c r="B25" s="5"/>
      <c r="C25" s="309" t="s">
        <v>130</v>
      </c>
      <c r="D25" s="310"/>
      <c r="E25" s="130" t="s">
        <v>39</v>
      </c>
      <c r="F25" s="334" t="s">
        <v>256</v>
      </c>
      <c r="G25" s="334"/>
      <c r="H25" s="334"/>
      <c r="I25" s="334"/>
      <c r="J25" s="334"/>
      <c r="K25" s="334"/>
      <c r="L25" s="334"/>
      <c r="M25" s="335"/>
      <c r="N25" s="142"/>
      <c r="O25" s="142"/>
      <c r="P25" s="7"/>
    </row>
    <row r="26" spans="2:22" ht="66" customHeight="1" thickBot="1" x14ac:dyDescent="0.35">
      <c r="B26" s="5"/>
      <c r="G26" s="15"/>
      <c r="P26" s="7"/>
    </row>
    <row r="27" spans="2:22" ht="102.75" customHeight="1" thickBot="1" x14ac:dyDescent="0.35">
      <c r="B27" s="5"/>
      <c r="C27" s="143" t="s">
        <v>131</v>
      </c>
      <c r="D27" s="144"/>
      <c r="E27" s="145" t="s">
        <v>193</v>
      </c>
      <c r="F27" s="144"/>
      <c r="G27" s="145" t="s">
        <v>132</v>
      </c>
      <c r="H27" s="144"/>
      <c r="I27" s="146" t="s">
        <v>194</v>
      </c>
      <c r="J27" s="147"/>
      <c r="K27" s="148" t="s">
        <v>195</v>
      </c>
      <c r="L27" s="147"/>
      <c r="M27" s="149" t="s">
        <v>196</v>
      </c>
      <c r="N27" s="147"/>
      <c r="O27" s="150" t="s">
        <v>197</v>
      </c>
      <c r="P27" s="7"/>
      <c r="Q27" s="16"/>
    </row>
    <row r="28" spans="2:22" ht="6.75" customHeight="1" x14ac:dyDescent="0.4">
      <c r="B28" s="5"/>
      <c r="C28" s="77"/>
      <c r="D28"/>
      <c r="E28"/>
      <c r="F28"/>
      <c r="G28"/>
      <c r="H28"/>
      <c r="I28" s="151"/>
      <c r="J28"/>
      <c r="K28" s="151"/>
      <c r="L28"/>
      <c r="M28"/>
      <c r="N28"/>
      <c r="O28"/>
      <c r="P28" s="7"/>
    </row>
    <row r="29" spans="2:22" ht="353.4" customHeight="1" x14ac:dyDescent="0.3">
      <c r="B29" s="5"/>
      <c r="C29" s="76" t="s">
        <v>198</v>
      </c>
      <c r="D29" s="17"/>
      <c r="E29" s="126" t="s">
        <v>39</v>
      </c>
      <c r="F29" s="18"/>
      <c r="G29" s="327">
        <v>0.79</v>
      </c>
      <c r="H29" s="18"/>
      <c r="I29" s="152" t="s">
        <v>259</v>
      </c>
      <c r="J29" s="153"/>
      <c r="K29" s="154">
        <v>0.63</v>
      </c>
      <c r="L29" s="155"/>
      <c r="M29" s="337" t="s">
        <v>209</v>
      </c>
      <c r="N29" s="156"/>
      <c r="O29" s="157">
        <f>G29-K29</f>
        <v>0.16000000000000003</v>
      </c>
      <c r="P29" s="19"/>
      <c r="Q29" s="20"/>
      <c r="R29" s="20"/>
      <c r="S29" s="20"/>
      <c r="T29" s="20"/>
      <c r="U29" s="20"/>
      <c r="V29" s="20"/>
    </row>
    <row r="30" spans="2:22" ht="6.75" customHeight="1" x14ac:dyDescent="0.5">
      <c r="B30" s="5"/>
      <c r="C30" s="77"/>
      <c r="D30"/>
      <c r="E30" s="81"/>
      <c r="F30"/>
      <c r="G30" s="21"/>
      <c r="H30"/>
      <c r="I30" s="158"/>
      <c r="J30"/>
      <c r="K30" s="151"/>
      <c r="L30"/>
      <c r="M30" s="159"/>
      <c r="N30" s="159"/>
      <c r="O30" s="160"/>
      <c r="P30" s="7"/>
    </row>
    <row r="31" spans="2:22" ht="261" customHeight="1" x14ac:dyDescent="0.3">
      <c r="B31" s="5"/>
      <c r="C31" s="78" t="s">
        <v>199</v>
      </c>
      <c r="D31" s="17"/>
      <c r="E31" s="126" t="s">
        <v>257</v>
      </c>
      <c r="F31"/>
      <c r="G31" s="127">
        <v>0.55000000000000004</v>
      </c>
      <c r="H31"/>
      <c r="I31" s="161" t="s">
        <v>260</v>
      </c>
      <c r="J31"/>
      <c r="K31" s="154">
        <v>0.4</v>
      </c>
      <c r="L31" s="162"/>
      <c r="M31" s="337" t="s">
        <v>258</v>
      </c>
      <c r="N31" s="156"/>
      <c r="O31" s="157">
        <f>G31-K31</f>
        <v>0.15000000000000002</v>
      </c>
      <c r="P31" s="7"/>
    </row>
    <row r="32" spans="2:22" ht="6.75" customHeight="1" x14ac:dyDescent="0.5">
      <c r="B32" s="5"/>
      <c r="C32" s="77"/>
      <c r="D32"/>
      <c r="E32" s="81"/>
      <c r="F32"/>
      <c r="G32" s="21"/>
      <c r="H32"/>
      <c r="I32" s="158"/>
      <c r="J32"/>
      <c r="K32" s="151"/>
      <c r="L32"/>
      <c r="M32" s="159"/>
      <c r="N32" s="159"/>
      <c r="O32" s="160"/>
      <c r="P32" s="7"/>
    </row>
    <row r="33" spans="2:16" ht="240" customHeight="1" x14ac:dyDescent="0.3">
      <c r="B33" s="5"/>
      <c r="C33" s="79" t="s">
        <v>200</v>
      </c>
      <c r="D33" s="17"/>
      <c r="E33" s="126" t="s">
        <v>257</v>
      </c>
      <c r="F33"/>
      <c r="G33" s="127">
        <v>0.7</v>
      </c>
      <c r="H33"/>
      <c r="I33" s="163" t="s">
        <v>261</v>
      </c>
      <c r="J33"/>
      <c r="K33" s="154">
        <v>0.4</v>
      </c>
      <c r="L33" s="162"/>
      <c r="M33" s="336" t="s">
        <v>210</v>
      </c>
      <c r="N33" s="156"/>
      <c r="O33" s="157">
        <f>G33-K33</f>
        <v>0.29999999999999993</v>
      </c>
      <c r="P33" s="7"/>
    </row>
    <row r="34" spans="2:16" ht="6.75" customHeight="1" x14ac:dyDescent="0.5">
      <c r="B34" s="5"/>
      <c r="C34" s="77"/>
      <c r="D34"/>
      <c r="E34" s="81"/>
      <c r="F34"/>
      <c r="G34" s="21"/>
      <c r="H34"/>
      <c r="I34" s="158"/>
      <c r="J34"/>
      <c r="K34" s="151"/>
      <c r="L34"/>
      <c r="M34" s="159"/>
      <c r="N34" s="159"/>
      <c r="O34" s="160"/>
      <c r="P34" s="7"/>
    </row>
    <row r="35" spans="2:16" ht="282.60000000000002" customHeight="1" x14ac:dyDescent="0.3">
      <c r="B35" s="5"/>
      <c r="C35" s="80" t="s">
        <v>201</v>
      </c>
      <c r="D35" s="17"/>
      <c r="E35" s="126" t="s">
        <v>39</v>
      </c>
      <c r="F35"/>
      <c r="G35" s="127">
        <v>0.64</v>
      </c>
      <c r="H35"/>
      <c r="I35" s="163" t="s">
        <v>262</v>
      </c>
      <c r="J35"/>
      <c r="K35" s="154">
        <v>0.56999999999999995</v>
      </c>
      <c r="L35" s="162"/>
      <c r="M35" s="163" t="s">
        <v>211</v>
      </c>
      <c r="N35" s="156"/>
      <c r="O35" s="157">
        <f>G35-K35</f>
        <v>7.0000000000000062E-2</v>
      </c>
      <c r="P35" s="7"/>
    </row>
    <row r="36" spans="2:16" ht="18" customHeight="1" x14ac:dyDescent="0.5">
      <c r="B36" s="5"/>
      <c r="C36" s="77"/>
      <c r="D36"/>
      <c r="E36" s="81"/>
      <c r="F36"/>
      <c r="G36" s="21"/>
      <c r="H36"/>
      <c r="I36" s="158"/>
      <c r="J36"/>
      <c r="K36" s="151"/>
      <c r="L36"/>
      <c r="M36" s="159"/>
      <c r="N36" s="159"/>
      <c r="O36" s="160"/>
      <c r="P36" s="7"/>
    </row>
    <row r="37" spans="2:16" ht="285.60000000000002" customHeight="1" thickBot="1" x14ac:dyDescent="0.35">
      <c r="B37" s="5"/>
      <c r="C37" s="164" t="s">
        <v>202</v>
      </c>
      <c r="D37" s="17"/>
      <c r="E37" s="126" t="s">
        <v>257</v>
      </c>
      <c r="F37"/>
      <c r="G37" s="127">
        <v>0.65</v>
      </c>
      <c r="H37"/>
      <c r="I37" s="165" t="s">
        <v>263</v>
      </c>
      <c r="J37"/>
      <c r="K37" s="154">
        <v>0.3</v>
      </c>
      <c r="L37" s="162"/>
      <c r="M37" s="336" t="s">
        <v>212</v>
      </c>
      <c r="N37" s="156"/>
      <c r="O37" s="157">
        <f>G37-K37</f>
        <v>0.35000000000000003</v>
      </c>
      <c r="P37" s="7"/>
    </row>
    <row r="38" spans="2:16" ht="15.6" x14ac:dyDescent="0.3">
      <c r="B38" s="5"/>
      <c r="C38" s="22"/>
      <c r="D38" s="22"/>
      <c r="E38" s="14"/>
      <c r="M38" s="23"/>
      <c r="N38" s="23"/>
      <c r="O38" s="23"/>
      <c r="P38" s="7"/>
    </row>
    <row r="39" spans="2:16" ht="15.6" x14ac:dyDescent="0.3">
      <c r="B39" s="5"/>
      <c r="C39" s="24"/>
      <c r="D39" s="22"/>
      <c r="E39" s="14"/>
      <c r="M39" s="23"/>
      <c r="N39" s="23"/>
      <c r="O39" s="23"/>
      <c r="P39" s="7"/>
    </row>
    <row r="40" spans="2:16" x14ac:dyDescent="0.3">
      <c r="B40" s="5"/>
      <c r="C40" s="25"/>
      <c r="P40" s="7"/>
    </row>
    <row r="41" spans="2:16" ht="15" thickBot="1" x14ac:dyDescent="0.35">
      <c r="B41" s="26"/>
      <c r="C41" s="27"/>
      <c r="D41" s="27"/>
      <c r="E41" s="27"/>
      <c r="F41" s="27"/>
      <c r="G41" s="27"/>
      <c r="H41" s="27"/>
      <c r="I41" s="27"/>
      <c r="J41" s="27"/>
      <c r="K41" s="27"/>
      <c r="L41" s="27"/>
      <c r="M41" s="27"/>
      <c r="N41" s="27"/>
      <c r="O41" s="27"/>
      <c r="P41" s="28"/>
    </row>
    <row r="42" spans="2:16" ht="15" thickTop="1" x14ac:dyDescent="0.3"/>
    <row r="46" spans="2:16" x14ac:dyDescent="0.3">
      <c r="B46" s="301" t="s">
        <v>224</v>
      </c>
      <c r="C46" s="301"/>
      <c r="D46" s="301"/>
      <c r="E46" s="301"/>
      <c r="F46" s="301"/>
      <c r="G46" s="301"/>
      <c r="H46" s="301" t="s">
        <v>223</v>
      </c>
      <c r="I46" s="301"/>
      <c r="J46" s="301"/>
      <c r="K46" s="301"/>
      <c r="L46" s="301" t="s">
        <v>222</v>
      </c>
      <c r="M46" s="301"/>
      <c r="N46" s="301"/>
      <c r="O46" s="301"/>
      <c r="P46" s="301"/>
    </row>
    <row r="47" spans="2:16" x14ac:dyDescent="0.3">
      <c r="B47" s="301"/>
      <c r="C47" s="301"/>
      <c r="D47" s="301"/>
      <c r="E47" s="301"/>
      <c r="F47" s="301"/>
      <c r="G47" s="301"/>
      <c r="H47" s="301"/>
      <c r="I47" s="301"/>
      <c r="J47" s="301"/>
      <c r="K47" s="301"/>
      <c r="L47" s="301"/>
      <c r="M47" s="301"/>
      <c r="N47" s="301"/>
      <c r="O47" s="301"/>
      <c r="P47" s="301"/>
    </row>
    <row r="48" spans="2:16" x14ac:dyDescent="0.3">
      <c r="B48" s="302" t="s">
        <v>225</v>
      </c>
      <c r="C48" s="302"/>
      <c r="D48" s="302"/>
      <c r="E48" s="302"/>
      <c r="F48" s="302"/>
      <c r="G48" s="302"/>
      <c r="H48" s="302" t="s">
        <v>226</v>
      </c>
      <c r="I48" s="302"/>
      <c r="J48" s="302"/>
      <c r="K48" s="302"/>
      <c r="L48" s="302" t="s">
        <v>226</v>
      </c>
      <c r="M48" s="302"/>
      <c r="N48" s="302"/>
      <c r="O48" s="302"/>
      <c r="P48" s="302"/>
    </row>
    <row r="49" spans="2:16" x14ac:dyDescent="0.3">
      <c r="B49" s="302"/>
      <c r="C49" s="302"/>
      <c r="D49" s="302"/>
      <c r="E49" s="302"/>
      <c r="F49" s="302"/>
      <c r="G49" s="302"/>
      <c r="H49" s="302"/>
      <c r="I49" s="302"/>
      <c r="J49" s="302"/>
      <c r="K49" s="302"/>
      <c r="L49" s="302"/>
      <c r="M49" s="302"/>
      <c r="N49" s="302"/>
      <c r="O49" s="302"/>
      <c r="P49" s="302"/>
    </row>
  </sheetData>
  <mergeCells count="28">
    <mergeCell ref="C24:D24"/>
    <mergeCell ref="F24:M24"/>
    <mergeCell ref="C25:D25"/>
    <mergeCell ref="F25:M25"/>
    <mergeCell ref="E7:E8"/>
    <mergeCell ref="F7:M8"/>
    <mergeCell ref="F9:M9"/>
    <mergeCell ref="I11:K11"/>
    <mergeCell ref="C21:M21"/>
    <mergeCell ref="C23:D23"/>
    <mergeCell ref="F23:M23"/>
    <mergeCell ref="B1:C4"/>
    <mergeCell ref="O1:P1"/>
    <mergeCell ref="O2:P2"/>
    <mergeCell ref="O3:P3"/>
    <mergeCell ref="O4:P4"/>
    <mergeCell ref="M1:N1"/>
    <mergeCell ref="M2:N2"/>
    <mergeCell ref="M3:N3"/>
    <mergeCell ref="M4:N4"/>
    <mergeCell ref="D1:L2"/>
    <mergeCell ref="D3:L4"/>
    <mergeCell ref="B46:G47"/>
    <mergeCell ref="B48:G49"/>
    <mergeCell ref="H46:K47"/>
    <mergeCell ref="H48:K49"/>
    <mergeCell ref="L46:P47"/>
    <mergeCell ref="L48:P49"/>
  </mergeCells>
  <conditionalFormatting sqref="G29 G31 G33 G35 G37">
    <cfRule type="cellIs" dxfId="20" priority="20" operator="between">
      <formula>0.76</formula>
      <formula>1</formula>
    </cfRule>
    <cfRule type="cellIs" dxfId="19" priority="21" operator="between">
      <formula>0.51</formula>
      <formula>0.75</formula>
    </cfRule>
    <cfRule type="cellIs" dxfId="18" priority="22" operator="between">
      <formula>0.26</formula>
      <formula>0.5</formula>
    </cfRule>
  </conditionalFormatting>
  <conditionalFormatting sqref="K29">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31">
    <cfRule type="cellIs" dxfId="14" priority="10" operator="between">
      <formula>0.76</formula>
      <formula>1</formula>
    </cfRule>
    <cfRule type="cellIs" dxfId="13" priority="11" operator="between">
      <formula>0.51</formula>
      <formula>0.75</formula>
    </cfRule>
    <cfRule type="cellIs" dxfId="12" priority="12" operator="between">
      <formula>0.26</formula>
      <formula>0.5</formula>
    </cfRule>
  </conditionalFormatting>
  <conditionalFormatting sqref="K33">
    <cfRule type="cellIs" dxfId="11" priority="7" operator="between">
      <formula>0.76</formula>
      <formula>1</formula>
    </cfRule>
    <cfRule type="cellIs" dxfId="10" priority="8" operator="between">
      <formula>0.51</formula>
      <formula>0.75</formula>
    </cfRule>
    <cfRule type="cellIs" dxfId="9" priority="9" operator="between">
      <formula>0.26</formula>
      <formula>0.5</formula>
    </cfRule>
  </conditionalFormatting>
  <conditionalFormatting sqref="K35">
    <cfRule type="cellIs" dxfId="8" priority="4" operator="between">
      <formula>0.76</formula>
      <formula>1</formula>
    </cfRule>
    <cfRule type="cellIs" dxfId="7" priority="5" operator="between">
      <formula>0.51</formula>
      <formula>0.75</formula>
    </cfRule>
    <cfRule type="cellIs" dxfId="6" priority="6" operator="between">
      <formula>0.26</formula>
      <formula>0.5</formula>
    </cfRule>
  </conditionalFormatting>
  <conditionalFormatting sqref="K37">
    <cfRule type="cellIs" dxfId="5" priority="1" operator="between">
      <formula>0.76</formula>
      <formula>1</formula>
    </cfRule>
    <cfRule type="cellIs" dxfId="4" priority="2" operator="between">
      <formula>0.51</formula>
      <formula>0.75</formula>
    </cfRule>
    <cfRule type="cellIs" dxfId="3" priority="3" operator="between">
      <formula>0.26</formula>
      <formula>0.5</formula>
    </cfRule>
  </conditionalFormatting>
  <conditionalFormatting sqref="M11">
    <cfRule type="cellIs" priority="16" operator="between">
      <formula>0.76</formula>
      <formula>1</formula>
    </cfRule>
    <cfRule type="cellIs" dxfId="2" priority="17" operator="between">
      <formula>0.51</formula>
      <formula>0.75</formula>
    </cfRule>
    <cfRule type="cellIs" dxfId="1" priority="18" operator="between">
      <formula>0.26</formula>
      <formula>0.5</formula>
    </cfRule>
    <cfRule type="cellIs" dxfId="0" priority="19" operator="between">
      <formula>0</formula>
      <formula>0.25</formula>
    </cfRule>
  </conditionalFormatting>
  <dataValidations count="4">
    <dataValidation type="list" allowBlank="1" showInputMessage="1" showErrorMessage="1" sqref="E23" xr:uid="{263225DE-D9A8-E24D-A808-A8302FE306D0}">
      <formula1>"Si,En proceso,No"</formula1>
    </dataValidation>
    <dataValidation allowBlank="1" showInputMessage="1" showErrorMessage="1" prompt="Celda formulada, información proveniente de la pestaña de deficiencias." sqref="E27" xr:uid="{7DAB9F41-93A1-D64B-BC06-8991042710A1}"/>
    <dataValidation type="list" allowBlank="1" showInputMessage="1" showErrorMessage="1" sqref="N23:O23" xr:uid="{EDC4282D-B654-914C-98A5-2FA6ECA1EA5E}">
      <formula1>"Si,No"</formula1>
    </dataValidation>
    <dataValidation type="list" allowBlank="1" showInputMessage="1" showErrorMessage="1" sqref="N24:O24 E24:E25" xr:uid="{BD7430D0-0F20-FE46-B2B2-D4A453D194EA}">
      <formula1>"Si, No"</formula1>
    </dataValidation>
  </dataValidations>
  <pageMargins left="0.7" right="0.7" top="0.75" bottom="0.75" header="0.3" footer="0.3"/>
  <pageSetup paperSize="9" scale="2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5"/>
  <sheetViews>
    <sheetView workbookViewId="0">
      <selection activeCell="F2" sqref="F2"/>
    </sheetView>
  </sheetViews>
  <sheetFormatPr baseColWidth="10" defaultColWidth="11.44140625" defaultRowHeight="14.4" x14ac:dyDescent="0.3"/>
  <cols>
    <col min="2" max="2" width="31" bestFit="1" customWidth="1"/>
    <col min="3" max="3" width="17.109375" customWidth="1"/>
    <col min="5" max="5" width="15.109375" customWidth="1"/>
    <col min="10" max="10" width="15.6640625" customWidth="1"/>
    <col min="11" max="11" width="12" bestFit="1" customWidth="1"/>
  </cols>
  <sheetData>
    <row r="1" spans="1:11" ht="84.75" customHeight="1" x14ac:dyDescent="0.3">
      <c r="A1" s="131" t="s">
        <v>25</v>
      </c>
      <c r="B1" s="131" t="s">
        <v>6</v>
      </c>
      <c r="C1" s="132" t="s">
        <v>8</v>
      </c>
      <c r="D1" s="133" t="s">
        <v>26</v>
      </c>
      <c r="E1" s="133" t="s">
        <v>27</v>
      </c>
      <c r="F1" s="133" t="s">
        <v>133</v>
      </c>
      <c r="G1" s="134" t="s">
        <v>134</v>
      </c>
      <c r="H1" s="134" t="s">
        <v>135</v>
      </c>
      <c r="I1" s="134" t="s">
        <v>119</v>
      </c>
      <c r="J1" s="134" t="s">
        <v>136</v>
      </c>
      <c r="K1" s="134" t="s">
        <v>137</v>
      </c>
    </row>
    <row r="2" spans="1:11" x14ac:dyDescent="0.3">
      <c r="A2" s="135" t="s">
        <v>138</v>
      </c>
      <c r="B2" s="135" t="str">
        <f>+VLOOKUP(A2,'Estado SCI'!$A$16:$C$59,3,0)</f>
        <v>AMBIENTE DE CONTROL</v>
      </c>
      <c r="C2" s="135" t="s">
        <v>33</v>
      </c>
      <c r="D2" s="135" t="s">
        <v>34</v>
      </c>
      <c r="E2" s="135" t="s">
        <v>35</v>
      </c>
      <c r="F2" s="135" t="str">
        <f>+VLOOKUP(A2,'Estado SCI'!$A$16:$I$59,9,0)</f>
        <v>Oportunidad de mejora</v>
      </c>
      <c r="G2" s="135">
        <f>+VLOOKUP(A2,'Estado SCI'!$A$16:$L$59,12,0)</f>
        <v>10.122999999999999</v>
      </c>
      <c r="H2" s="135">
        <f t="shared" ref="H2:H45" si="0">+_xlfn.RANK.EQ(G2,$G$2:$G$45,1)</f>
        <v>2</v>
      </c>
      <c r="I2" s="135" t="str">
        <f>+IF(VLOOKUP(A2,'Estado SCI'!$A$16:$G$59,7,0)="","",VLOOKUP(A2,'Estado SCI'!$A$16:$G$59,7,0))</f>
        <v>En proceso</v>
      </c>
      <c r="J2" s="136">
        <f>+IF(I2="Si",1,IF(I2="En proceso",0.5,0))</f>
        <v>0.5</v>
      </c>
      <c r="K2" s="137">
        <f t="shared" ref="K2:K45" si="1">+AVERAGEIF($B$2:$B$45,B2,$J$2:$J$45)</f>
        <v>0.79166666666666663</v>
      </c>
    </row>
    <row r="3" spans="1:11" x14ac:dyDescent="0.3">
      <c r="A3" s="135" t="s">
        <v>139</v>
      </c>
      <c r="B3" s="135" t="s">
        <v>32</v>
      </c>
      <c r="C3" s="135" t="s">
        <v>33</v>
      </c>
      <c r="D3" s="135" t="s">
        <v>37</v>
      </c>
      <c r="E3" s="135" t="s">
        <v>38</v>
      </c>
      <c r="F3" s="135" t="str">
        <f>+VLOOKUP(A3,'Estado SCI'!$A$16:$I$59,9,0)</f>
        <v>Oportunidad de mejora</v>
      </c>
      <c r="G3" s="135">
        <f>+VLOOKUP(A3,'Estado SCI'!$A$16:$L$59,12,0)</f>
        <v>10.1234</v>
      </c>
      <c r="H3" s="135">
        <f t="shared" si="0"/>
        <v>3</v>
      </c>
      <c r="I3" s="135" t="str">
        <f>+IF(VLOOKUP(A3,'Estado SCI'!$A$16:$G$59,7,0)="","",VLOOKUP(A3,'Estado SCI'!$A$16:$G$59,7,0))</f>
        <v>En proceso</v>
      </c>
      <c r="J3" s="136">
        <f t="shared" ref="J3:J45" si="2">+IF(I3="Si",1,IF(I3="En proceso",0.5,0))</f>
        <v>0.5</v>
      </c>
      <c r="K3" s="137">
        <f t="shared" si="1"/>
        <v>0.79166666666666663</v>
      </c>
    </row>
    <row r="4" spans="1:11" x14ac:dyDescent="0.3">
      <c r="A4" s="135" t="s">
        <v>140</v>
      </c>
      <c r="B4" s="135" t="s">
        <v>32</v>
      </c>
      <c r="C4" s="135" t="s">
        <v>33</v>
      </c>
      <c r="D4" s="135" t="s">
        <v>40</v>
      </c>
      <c r="E4" s="135" t="s">
        <v>41</v>
      </c>
      <c r="F4" s="135" t="str">
        <f>+VLOOKUP(A4,'Estado SCI'!$A$16:$I$59,9,0)</f>
        <v>Mantenimiento del control</v>
      </c>
      <c r="G4" s="135">
        <f>+VLOOKUP(A4,'Estado SCI'!$A$16:$L$59,12,0)</f>
        <v>20.123449999999998</v>
      </c>
      <c r="H4" s="135">
        <f t="shared" si="0"/>
        <v>5</v>
      </c>
      <c r="I4" s="135" t="str">
        <f>+IF(VLOOKUP(A4,'Estado SCI'!$A$16:$G$59,7,0)="","",VLOOKUP(A4,'Estado SCI'!$A$16:$G$59,7,0))</f>
        <v>Si</v>
      </c>
      <c r="J4" s="136">
        <f t="shared" si="2"/>
        <v>1</v>
      </c>
      <c r="K4" s="137">
        <f t="shared" si="1"/>
        <v>0.79166666666666663</v>
      </c>
    </row>
    <row r="5" spans="1:11" x14ac:dyDescent="0.3">
      <c r="A5" s="135" t="s">
        <v>141</v>
      </c>
      <c r="B5" s="135" t="s">
        <v>32</v>
      </c>
      <c r="C5" s="135" t="s">
        <v>33</v>
      </c>
      <c r="D5" s="135" t="s">
        <v>42</v>
      </c>
      <c r="E5" s="135" t="s">
        <v>43</v>
      </c>
      <c r="F5" s="135" t="str">
        <f>+VLOOKUP(A5,'Estado SCI'!$A$16:$I$59,9,0)</f>
        <v>Mantenimiento del control</v>
      </c>
      <c r="G5" s="135">
        <f>+VLOOKUP(A5,'Estado SCI'!$A$16:$L$59,12,0)</f>
        <v>20.123456000000001</v>
      </c>
      <c r="H5" s="135">
        <f t="shared" si="0"/>
        <v>6</v>
      </c>
      <c r="I5" s="135" t="str">
        <f>+IF(VLOOKUP(A5,'Estado SCI'!$A$16:$G$59,7,0)="","",VLOOKUP(A5,'Estado SCI'!$A$16:$G$59,7,0))</f>
        <v>Si</v>
      </c>
      <c r="J5" s="136">
        <f t="shared" si="2"/>
        <v>1</v>
      </c>
      <c r="K5" s="137">
        <f t="shared" si="1"/>
        <v>0.79166666666666663</v>
      </c>
    </row>
    <row r="6" spans="1:11" x14ac:dyDescent="0.3">
      <c r="A6" s="135" t="s">
        <v>142</v>
      </c>
      <c r="B6" s="135" t="s">
        <v>32</v>
      </c>
      <c r="C6" s="135" t="s">
        <v>33</v>
      </c>
      <c r="D6" s="135" t="s">
        <v>44</v>
      </c>
      <c r="E6" s="135" t="s">
        <v>45</v>
      </c>
      <c r="F6" s="135" t="str">
        <f>+VLOOKUP(A6,'Estado SCI'!$A$16:$I$59,9,0)</f>
        <v>Mantenimiento del control</v>
      </c>
      <c r="G6" s="135">
        <f>+VLOOKUP(A6,'Estado SCI'!$A$16:$L$59,12,0)</f>
        <v>20.123456780000001</v>
      </c>
      <c r="H6" s="135">
        <f t="shared" si="0"/>
        <v>7</v>
      </c>
      <c r="I6" s="135" t="str">
        <f>+IF(VLOOKUP(A6,'Estado SCI'!$A$16:$G$59,7,0)="","",VLOOKUP(A6,'Estado SCI'!$A$16:$G$59,7,0))</f>
        <v>Si</v>
      </c>
      <c r="J6" s="136">
        <f t="shared" si="2"/>
        <v>1</v>
      </c>
      <c r="K6" s="137">
        <f t="shared" si="1"/>
        <v>0.79166666666666663</v>
      </c>
    </row>
    <row r="7" spans="1:11" x14ac:dyDescent="0.3">
      <c r="A7" s="135" t="s">
        <v>143</v>
      </c>
      <c r="B7" s="135" t="s">
        <v>32</v>
      </c>
      <c r="C7" s="135" t="s">
        <v>33</v>
      </c>
      <c r="D7" s="135" t="s">
        <v>46</v>
      </c>
      <c r="E7" s="135" t="s">
        <v>47</v>
      </c>
      <c r="F7" s="135" t="str">
        <f>+VLOOKUP(A7,'Estado SCI'!$A$16:$I$59,9,0)</f>
        <v>Oportunidad de mejora</v>
      </c>
      <c r="G7" s="135">
        <f>+VLOOKUP(A7,'Estado SCI'!$A$16:$L$59,12,0)</f>
        <v>10.123456789</v>
      </c>
      <c r="H7" s="135">
        <f t="shared" si="0"/>
        <v>4</v>
      </c>
      <c r="I7" s="135" t="str">
        <f>+IF(VLOOKUP(A7,'Estado SCI'!$A$16:$G$59,7,0)="","",VLOOKUP(A7,'Estado SCI'!$A$16:$G$59,7,0))</f>
        <v>En proceso</v>
      </c>
      <c r="J7" s="136">
        <f t="shared" si="2"/>
        <v>0.5</v>
      </c>
      <c r="K7" s="137">
        <f t="shared" si="1"/>
        <v>0.79166666666666663</v>
      </c>
    </row>
    <row r="8" spans="1:11" x14ac:dyDescent="0.3">
      <c r="A8" s="135" t="s">
        <v>144</v>
      </c>
      <c r="B8" s="135" t="s">
        <v>32</v>
      </c>
      <c r="C8" s="135" t="s">
        <v>33</v>
      </c>
      <c r="D8" s="135" t="s">
        <v>48</v>
      </c>
      <c r="E8" s="135" t="s">
        <v>49</v>
      </c>
      <c r="F8" s="135" t="str">
        <f>+VLOOKUP(A8,'Estado SCI'!$A$16:$I$59,9,0)</f>
        <v>Mantenimiento del control</v>
      </c>
      <c r="G8" s="135">
        <f>+VLOOKUP(A8,'Estado SCI'!$A$16:$L$59,12,0)</f>
        <v>20.1234567891</v>
      </c>
      <c r="H8" s="135">
        <f t="shared" si="0"/>
        <v>8</v>
      </c>
      <c r="I8" s="135" t="str">
        <f>+IF(VLOOKUP(A8,'Estado SCI'!$A$16:$G$59,7,0)="","",VLOOKUP(A8,'Estado SCI'!$A$16:$G$59,7,0))</f>
        <v>Si</v>
      </c>
      <c r="J8" s="136">
        <f t="shared" si="2"/>
        <v>1</v>
      </c>
      <c r="K8" s="137">
        <f t="shared" si="1"/>
        <v>0.79166666666666663</v>
      </c>
    </row>
    <row r="9" spans="1:11" x14ac:dyDescent="0.3">
      <c r="A9" s="135" t="s">
        <v>145</v>
      </c>
      <c r="B9" s="135" t="s">
        <v>32</v>
      </c>
      <c r="C9" s="135" t="s">
        <v>33</v>
      </c>
      <c r="D9" s="135" t="s">
        <v>50</v>
      </c>
      <c r="E9" s="135" t="s">
        <v>51</v>
      </c>
      <c r="F9" s="135" t="str">
        <f>+VLOOKUP(A9,'Estado SCI'!$A$16:$I$59,9,0)</f>
        <v>Mantenimiento del control</v>
      </c>
      <c r="G9" s="135">
        <f>+VLOOKUP(A9,'Estado SCI'!$A$16:$L$59,12,0)</f>
        <v>20.123456789119999</v>
      </c>
      <c r="H9" s="135">
        <f t="shared" si="0"/>
        <v>9</v>
      </c>
      <c r="I9" s="135" t="str">
        <f>+IF(VLOOKUP(A9,'Estado SCI'!$A$16:$G$59,7,0)="","",VLOOKUP(A9,'Estado SCI'!$A$16:$G$59,7,0))</f>
        <v>Si</v>
      </c>
      <c r="J9" s="136">
        <f t="shared" si="2"/>
        <v>1</v>
      </c>
      <c r="K9" s="137">
        <f t="shared" si="1"/>
        <v>0.79166666666666663</v>
      </c>
    </row>
    <row r="10" spans="1:11" x14ac:dyDescent="0.3">
      <c r="A10" s="135" t="s">
        <v>146</v>
      </c>
      <c r="B10" s="135" t="s">
        <v>32</v>
      </c>
      <c r="C10" s="135" t="s">
        <v>33</v>
      </c>
      <c r="D10" s="135" t="s">
        <v>52</v>
      </c>
      <c r="E10" s="135" t="s">
        <v>53</v>
      </c>
      <c r="F10" s="135" t="str">
        <f>+VLOOKUP(A10,'Estado SCI'!$A$16:$I$59,9,0)</f>
        <v>Mantenimiento del control</v>
      </c>
      <c r="G10" s="135">
        <f>+VLOOKUP(A10,'Estado SCI'!$A$16:$L$59,12,0)</f>
        <v>20.123456789123001</v>
      </c>
      <c r="H10" s="135">
        <f t="shared" si="0"/>
        <v>10</v>
      </c>
      <c r="I10" s="135" t="str">
        <f>+IF(VLOOKUP(A10,'Estado SCI'!$A$16:$G$59,7,0)="","",VLOOKUP(A10,'Estado SCI'!$A$16:$G$59,7,0))</f>
        <v>Si</v>
      </c>
      <c r="J10" s="136">
        <f t="shared" si="2"/>
        <v>1</v>
      </c>
      <c r="K10" s="137">
        <f t="shared" si="1"/>
        <v>0.79166666666666663</v>
      </c>
    </row>
    <row r="11" spans="1:11" x14ac:dyDescent="0.3">
      <c r="A11" s="135" t="s">
        <v>147</v>
      </c>
      <c r="B11" s="135" t="s">
        <v>32</v>
      </c>
      <c r="C11" s="135" t="s">
        <v>33</v>
      </c>
      <c r="D11" s="135" t="s">
        <v>54</v>
      </c>
      <c r="E11" s="135" t="s">
        <v>55</v>
      </c>
      <c r="F11" s="135" t="str">
        <f>+VLOOKUP(A11,'Estado SCI'!$A$16:$I$59,9,0)</f>
        <v>Deficiencia de control</v>
      </c>
      <c r="G11" s="135">
        <f>+VLOOKUP(A11,'Estado SCI'!$A$16:$L$59,12,0)</f>
        <v>0.1234567891234</v>
      </c>
      <c r="H11" s="135">
        <f t="shared" si="0"/>
        <v>1</v>
      </c>
      <c r="I11" s="135" t="str">
        <f>+IF(VLOOKUP(A11,'Estado SCI'!$A$16:$G$59,7,0)="","",VLOOKUP(A11,'Estado SCI'!$A$16:$G$59,7,0))</f>
        <v>No</v>
      </c>
      <c r="J11" s="136">
        <f t="shared" si="2"/>
        <v>0</v>
      </c>
      <c r="K11" s="137">
        <f t="shared" si="1"/>
        <v>0.79166666666666663</v>
      </c>
    </row>
    <row r="12" spans="1:11" x14ac:dyDescent="0.3">
      <c r="A12" s="135" t="s">
        <v>148</v>
      </c>
      <c r="B12" s="135" t="s">
        <v>32</v>
      </c>
      <c r="C12" s="135" t="s">
        <v>33</v>
      </c>
      <c r="D12" s="135" t="s">
        <v>56</v>
      </c>
      <c r="E12" s="135" t="s">
        <v>57</v>
      </c>
      <c r="F12" s="135" t="str">
        <f>+VLOOKUP(A12,'Estado SCI'!$A$16:$I$59,9,0)</f>
        <v>Mantenimiento del control</v>
      </c>
      <c r="G12" s="135">
        <f>+VLOOKUP(A12,'Estado SCI'!$A$16:$L$59,12,0)</f>
        <v>20.123456789123448</v>
      </c>
      <c r="H12" s="135">
        <f t="shared" si="0"/>
        <v>11</v>
      </c>
      <c r="I12" s="135" t="str">
        <f>+IF(VLOOKUP(A12,'Estado SCI'!$A$16:$G$59,7,0)="","",VLOOKUP(A12,'Estado SCI'!$A$16:$G$59,7,0))</f>
        <v>Si</v>
      </c>
      <c r="J12" s="136">
        <f t="shared" si="2"/>
        <v>1</v>
      </c>
      <c r="K12" s="137">
        <f t="shared" si="1"/>
        <v>0.79166666666666663</v>
      </c>
    </row>
    <row r="13" spans="1:11" x14ac:dyDescent="0.3">
      <c r="A13" s="135" t="s">
        <v>149</v>
      </c>
      <c r="B13" s="135" t="s">
        <v>32</v>
      </c>
      <c r="C13" s="135" t="s">
        <v>33</v>
      </c>
      <c r="D13" s="135" t="s">
        <v>58</v>
      </c>
      <c r="E13" s="135" t="s">
        <v>59</v>
      </c>
      <c r="F13" s="135" t="str">
        <f>+VLOOKUP(A13,'Estado SCI'!$A$16:$I$59,9,0)</f>
        <v>Mantenimiento del control</v>
      </c>
      <c r="G13" s="135">
        <f>+VLOOKUP(A13,'Estado SCI'!$A$16:$L$59,12,0)</f>
        <v>20.123456789123455</v>
      </c>
      <c r="H13" s="135">
        <f t="shared" si="0"/>
        <v>12</v>
      </c>
      <c r="I13" s="135" t="str">
        <f>+IF(VLOOKUP(A13,'Estado SCI'!$A$16:$G$59,7,0)="","",VLOOKUP(A13,'Estado SCI'!$A$16:$G$59,7,0))</f>
        <v>Si</v>
      </c>
      <c r="J13" s="136">
        <f t="shared" si="2"/>
        <v>1</v>
      </c>
      <c r="K13" s="137">
        <f t="shared" si="1"/>
        <v>0.79166666666666663</v>
      </c>
    </row>
    <row r="14" spans="1:11" ht="15" customHeight="1" x14ac:dyDescent="0.3">
      <c r="A14" s="135" t="s">
        <v>150</v>
      </c>
      <c r="B14" s="135" t="str">
        <f>+VLOOKUP(A14,'Estado SCI'!$A$16:$C$59,3,0)</f>
        <v>EVALUACION DEL RIESGO</v>
      </c>
      <c r="C14" s="135" t="s">
        <v>62</v>
      </c>
      <c r="D14" s="135" t="s">
        <v>34</v>
      </c>
      <c r="E14" s="135" t="s">
        <v>151</v>
      </c>
      <c r="F14" s="135" t="str">
        <f>+VLOOKUP(A14,'Estado SCI'!$A$16:$I$59,9,0)</f>
        <v>Mantenimiento del control</v>
      </c>
      <c r="G14" s="135">
        <f>+VLOOKUP(A14,'Estado SCI'!$A$16:$L$59,12,0)</f>
        <v>40.229999999999997</v>
      </c>
      <c r="H14" s="135">
        <f t="shared" si="0"/>
        <v>20</v>
      </c>
      <c r="I14" s="135" t="str">
        <f>+IF(VLOOKUP(A14,'Estado SCI'!$A$16:$G$59,7,0)="","",VLOOKUP(A14,'Estado SCI'!$A$16:$G$59,7,0))</f>
        <v>Si</v>
      </c>
      <c r="J14" s="136">
        <f t="shared" si="2"/>
        <v>1</v>
      </c>
      <c r="K14" s="137">
        <f t="shared" si="1"/>
        <v>0.55000000000000004</v>
      </c>
    </row>
    <row r="15" spans="1:11" ht="15" customHeight="1" x14ac:dyDescent="0.3">
      <c r="A15" s="135" t="s">
        <v>152</v>
      </c>
      <c r="B15" s="135" t="s">
        <v>61</v>
      </c>
      <c r="C15" s="135" t="s">
        <v>62</v>
      </c>
      <c r="D15" s="135" t="s">
        <v>37</v>
      </c>
      <c r="E15" s="135" t="s">
        <v>153</v>
      </c>
      <c r="F15" s="135" t="str">
        <f>+VLOOKUP(A15,'Estado SCI'!$A$16:$I$59,9,0)</f>
        <v>Mantenimiento del control</v>
      </c>
      <c r="G15" s="135">
        <f>+VLOOKUP(A15,'Estado SCI'!$A$16:$L$59,12,0)</f>
        <v>40.234000000000002</v>
      </c>
      <c r="H15" s="135">
        <f t="shared" si="0"/>
        <v>21</v>
      </c>
      <c r="I15" s="135" t="str">
        <f>+IF(VLOOKUP(A15,'Estado SCI'!$A$16:$G$59,7,0)="","",VLOOKUP(A15,'Estado SCI'!$A$16:$G$59,7,0))</f>
        <v>Si</v>
      </c>
      <c r="J15" s="136">
        <f t="shared" si="2"/>
        <v>1</v>
      </c>
      <c r="K15" s="137">
        <f t="shared" si="1"/>
        <v>0.55000000000000004</v>
      </c>
    </row>
    <row r="16" spans="1:11" ht="15" customHeight="1" x14ac:dyDescent="0.3">
      <c r="A16" s="135" t="s">
        <v>154</v>
      </c>
      <c r="B16" s="135" t="s">
        <v>61</v>
      </c>
      <c r="C16" s="135" t="s">
        <v>62</v>
      </c>
      <c r="D16" s="135" t="s">
        <v>40</v>
      </c>
      <c r="E16" s="135" t="s">
        <v>155</v>
      </c>
      <c r="F16" s="135" t="str">
        <f>+VLOOKUP(A16,'Estado SCI'!$A$16:$I$59,9,0)</f>
        <v>Oportunidad de mejora</v>
      </c>
      <c r="G16" s="135">
        <f>+VLOOKUP(A16,'Estado SCI'!$A$16:$L$59,12,0)</f>
        <v>30.234500000000001</v>
      </c>
      <c r="H16" s="135">
        <f t="shared" si="0"/>
        <v>15</v>
      </c>
      <c r="I16" s="135" t="str">
        <f>+IF(VLOOKUP(A16,'Estado SCI'!$A$16:$G$59,7,0)="","",VLOOKUP(A16,'Estado SCI'!$A$16:$G$59,7,0))</f>
        <v>En proceso</v>
      </c>
      <c r="J16" s="136">
        <f t="shared" si="2"/>
        <v>0.5</v>
      </c>
      <c r="K16" s="137">
        <f t="shared" si="1"/>
        <v>0.55000000000000004</v>
      </c>
    </row>
    <row r="17" spans="1:11" ht="15.75" customHeight="1" x14ac:dyDescent="0.3">
      <c r="A17" s="135" t="s">
        <v>156</v>
      </c>
      <c r="B17" s="135" t="s">
        <v>61</v>
      </c>
      <c r="C17" s="135" t="s">
        <v>62</v>
      </c>
      <c r="D17" s="135" t="s">
        <v>42</v>
      </c>
      <c r="E17" s="135" t="s">
        <v>66</v>
      </c>
      <c r="F17" s="135" t="str">
        <f>+VLOOKUP(A17,'Estado SCI'!$A$16:$I$59,9,0)</f>
        <v>Oportunidad de mejora</v>
      </c>
      <c r="G17" s="135">
        <f>+VLOOKUP(A17,'Estado SCI'!$A$16:$L$59,12,0)</f>
        <v>30.234559999999998</v>
      </c>
      <c r="H17" s="135">
        <f t="shared" si="0"/>
        <v>16</v>
      </c>
      <c r="I17" s="135" t="str">
        <f>+IF(VLOOKUP(A17,'Estado SCI'!$A$16:$G$59,7,0)="","",VLOOKUP(A17,'Estado SCI'!$A$16:$G$59,7,0))</f>
        <v>En proceso</v>
      </c>
      <c r="J17" s="136">
        <f t="shared" si="2"/>
        <v>0.5</v>
      </c>
      <c r="K17" s="137">
        <f t="shared" si="1"/>
        <v>0.55000000000000004</v>
      </c>
    </row>
    <row r="18" spans="1:11" ht="15" customHeight="1" x14ac:dyDescent="0.3">
      <c r="A18" s="135" t="s">
        <v>157</v>
      </c>
      <c r="B18" s="135" t="s">
        <v>61</v>
      </c>
      <c r="C18" s="135" t="s">
        <v>80</v>
      </c>
      <c r="D18" s="135" t="s">
        <v>34</v>
      </c>
      <c r="E18" s="135" t="s">
        <v>69</v>
      </c>
      <c r="F18" s="135" t="str">
        <f>+VLOOKUP(A18,'Estado SCI'!$A$16:$I$59,9,0)</f>
        <v>Oportunidad de mejora</v>
      </c>
      <c r="G18" s="135">
        <f>+VLOOKUP(A18,'Estado SCI'!$A$16:$L$59,12,0)</f>
        <v>30.234566999999998</v>
      </c>
      <c r="H18" s="135">
        <f t="shared" si="0"/>
        <v>17</v>
      </c>
      <c r="I18" s="135" t="str">
        <f>+IF(VLOOKUP(A18,'Estado SCI'!$A$16:$G$59,7,0)="","",VLOOKUP(A18,'Estado SCI'!$A$16:$G$59,7,0))</f>
        <v>En proceso</v>
      </c>
      <c r="J18" s="136">
        <f t="shared" si="2"/>
        <v>0.5</v>
      </c>
      <c r="K18" s="137">
        <f t="shared" si="1"/>
        <v>0.55000000000000004</v>
      </c>
    </row>
    <row r="19" spans="1:11" ht="15" customHeight="1" x14ac:dyDescent="0.3">
      <c r="A19" s="135" t="s">
        <v>158</v>
      </c>
      <c r="B19" s="135" t="s">
        <v>61</v>
      </c>
      <c r="C19" s="135" t="s">
        <v>80</v>
      </c>
      <c r="D19" s="135" t="s">
        <v>37</v>
      </c>
      <c r="E19" s="135" t="s">
        <v>70</v>
      </c>
      <c r="F19" s="135" t="str">
        <f>+VLOOKUP(A19,'Estado SCI'!$A$16:$I$59,9,0)</f>
        <v>Oportunidad de mejora</v>
      </c>
      <c r="G19" s="135">
        <f>+VLOOKUP(A19,'Estado SCI'!$A$16:$L$59,12,0)</f>
        <v>30.234567800000001</v>
      </c>
      <c r="H19" s="135">
        <f t="shared" si="0"/>
        <v>18</v>
      </c>
      <c r="I19" s="135" t="str">
        <f>+IF(VLOOKUP(A19,'Estado SCI'!$A$16:$G$59,7,0)="","",VLOOKUP(A19,'Estado SCI'!$A$16:$G$59,7,0))</f>
        <v>En proceso</v>
      </c>
      <c r="J19" s="136">
        <f t="shared" si="2"/>
        <v>0.5</v>
      </c>
      <c r="K19" s="137">
        <f t="shared" si="1"/>
        <v>0.55000000000000004</v>
      </c>
    </row>
    <row r="20" spans="1:11" ht="15" customHeight="1" x14ac:dyDescent="0.3">
      <c r="A20" s="135" t="s">
        <v>159</v>
      </c>
      <c r="B20" s="135" t="s">
        <v>61</v>
      </c>
      <c r="C20" s="135" t="s">
        <v>80</v>
      </c>
      <c r="D20" s="135" t="s">
        <v>40</v>
      </c>
      <c r="E20" s="135" t="s">
        <v>71</v>
      </c>
      <c r="F20" s="135" t="str">
        <f>+VLOOKUP(A20,'Estado SCI'!$A$16:$I$59,9,0)</f>
        <v>Oportunidad de mejora</v>
      </c>
      <c r="G20" s="135">
        <f>+VLOOKUP(A20,'Estado SCI'!$A$16:$L$59,12,0)</f>
        <v>30.234567890000001</v>
      </c>
      <c r="H20" s="135">
        <f t="shared" si="0"/>
        <v>19</v>
      </c>
      <c r="I20" s="135" t="str">
        <f>+IF(VLOOKUP(A20,'Estado SCI'!$A$16:$G$59,7,0)="","",VLOOKUP(A20,'Estado SCI'!$A$16:$G$59,7,0))</f>
        <v>En proceso</v>
      </c>
      <c r="J20" s="136">
        <f t="shared" si="2"/>
        <v>0.5</v>
      </c>
      <c r="K20" s="137">
        <f t="shared" si="1"/>
        <v>0.55000000000000004</v>
      </c>
    </row>
    <row r="21" spans="1:11" ht="15.75" customHeight="1" x14ac:dyDescent="0.3">
      <c r="A21" s="135" t="s">
        <v>160</v>
      </c>
      <c r="B21" s="135" t="s">
        <v>61</v>
      </c>
      <c r="C21" s="135" t="s">
        <v>80</v>
      </c>
      <c r="D21" s="135" t="s">
        <v>34</v>
      </c>
      <c r="E21" s="135" t="s">
        <v>74</v>
      </c>
      <c r="F21" s="135" t="str">
        <f>+VLOOKUP(A21,'Estado SCI'!$A$16:$I$59,9,0)</f>
        <v>Deficiencia de control</v>
      </c>
      <c r="G21" s="135">
        <f>+VLOOKUP(A21,'Estado SCI'!$A$16:$L$59,12,0)</f>
        <v>20.234567891200001</v>
      </c>
      <c r="H21" s="135">
        <f t="shared" si="0"/>
        <v>13</v>
      </c>
      <c r="I21" s="135" t="str">
        <f>+IF(VLOOKUP(A21,'Estado SCI'!$A$16:$G$59,7,0)="","",VLOOKUP(A21,'Estado SCI'!$A$16:$G$59,7,0))</f>
        <v>No</v>
      </c>
      <c r="J21" s="136">
        <f t="shared" si="2"/>
        <v>0</v>
      </c>
      <c r="K21" s="137">
        <f t="shared" si="1"/>
        <v>0.55000000000000004</v>
      </c>
    </row>
    <row r="22" spans="1:11" ht="15" customHeight="1" x14ac:dyDescent="0.3">
      <c r="A22" s="135" t="s">
        <v>161</v>
      </c>
      <c r="B22" s="135" t="s">
        <v>61</v>
      </c>
      <c r="C22" s="135" t="s">
        <v>88</v>
      </c>
      <c r="D22" s="135" t="s">
        <v>37</v>
      </c>
      <c r="E22" s="135" t="s">
        <v>75</v>
      </c>
      <c r="F22" s="135" t="str">
        <f>+VLOOKUP(A22,'Estado SCI'!$A$16:$I$59,9,0)</f>
        <v>Deficiencia de control</v>
      </c>
      <c r="G22" s="135">
        <f>+VLOOKUP(A22,'Estado SCI'!$A$16:$L$59,12,0)</f>
        <v>20.23456789123</v>
      </c>
      <c r="H22" s="135">
        <f t="shared" si="0"/>
        <v>14</v>
      </c>
      <c r="I22" s="135" t="str">
        <f>+IF(VLOOKUP(A22,'Estado SCI'!$A$16:$G$59,7,0)="","",VLOOKUP(A22,'Estado SCI'!$A$16:$G$59,7,0))</f>
        <v>No</v>
      </c>
      <c r="J22" s="136">
        <f t="shared" si="2"/>
        <v>0</v>
      </c>
      <c r="K22" s="137">
        <f t="shared" si="1"/>
        <v>0.55000000000000004</v>
      </c>
    </row>
    <row r="23" spans="1:11" ht="15" customHeight="1" x14ac:dyDescent="0.3">
      <c r="A23" s="135" t="s">
        <v>162</v>
      </c>
      <c r="B23" s="135" t="s">
        <v>61</v>
      </c>
      <c r="C23" s="135" t="s">
        <v>88</v>
      </c>
      <c r="D23" s="135" t="s">
        <v>40</v>
      </c>
      <c r="E23" s="135" t="s">
        <v>77</v>
      </c>
      <c r="F23" s="135" t="str">
        <f>+VLOOKUP(A23,'Estado SCI'!$A$16:$I$59,9,0)</f>
        <v>Mantenimiento del control</v>
      </c>
      <c r="G23" s="135">
        <f>+VLOOKUP(A23,'Estado SCI'!$A$16:$L$59,12,0)</f>
        <v>40.234567891234001</v>
      </c>
      <c r="H23" s="135">
        <f t="shared" si="0"/>
        <v>22</v>
      </c>
      <c r="I23" s="135" t="str">
        <f>+IF(VLOOKUP(A23,'Estado SCI'!$A$16:$G$59,7,0)="","",VLOOKUP(A23,'Estado SCI'!$A$16:$G$59,7,0))</f>
        <v>Si</v>
      </c>
      <c r="J23" s="136">
        <f t="shared" si="2"/>
        <v>1</v>
      </c>
      <c r="K23" s="137">
        <f t="shared" si="1"/>
        <v>0.55000000000000004</v>
      </c>
    </row>
    <row r="24" spans="1:11" ht="15" customHeight="1" x14ac:dyDescent="0.3">
      <c r="A24" s="135" t="s">
        <v>163</v>
      </c>
      <c r="B24" s="135" t="str">
        <f>+VLOOKUP(A24,'Estado SCI'!$A$16:$C$59,3,0)</f>
        <v>ACTIVIDADES DE CONTROL</v>
      </c>
      <c r="C24" s="135" t="s">
        <v>88</v>
      </c>
      <c r="D24" s="135" t="s">
        <v>34</v>
      </c>
      <c r="E24" s="135" t="s">
        <v>81</v>
      </c>
      <c r="F24" s="135" t="str">
        <f>+VLOOKUP(A24,'Estado SCI'!$A$16:$I$59,9,0)</f>
        <v>Oportunidad de mejora</v>
      </c>
      <c r="G24" s="135">
        <f>+VLOOKUP(A24,'Estado SCI'!$A$16:$L$59,12,0)</f>
        <v>50.31</v>
      </c>
      <c r="H24" s="135">
        <f t="shared" si="0"/>
        <v>23</v>
      </c>
      <c r="I24" s="135" t="str">
        <f>+IF(VLOOKUP(A24,'Estado SCI'!$A$16:$G$59,7,0)="","",VLOOKUP(A24,'Estado SCI'!$A$16:$G$59,7,0))</f>
        <v>En proceso</v>
      </c>
      <c r="J24" s="136">
        <f t="shared" si="2"/>
        <v>0.5</v>
      </c>
      <c r="K24" s="137">
        <f t="shared" si="1"/>
        <v>0.7</v>
      </c>
    </row>
    <row r="25" spans="1:11" ht="15" customHeight="1" x14ac:dyDescent="0.3">
      <c r="A25" s="135" t="s">
        <v>164</v>
      </c>
      <c r="B25" s="135" t="s">
        <v>79</v>
      </c>
      <c r="C25" s="135" t="s">
        <v>88</v>
      </c>
      <c r="D25" s="135" t="s">
        <v>37</v>
      </c>
      <c r="E25" s="135" t="s">
        <v>82</v>
      </c>
      <c r="F25" s="135" t="str">
        <f>+VLOOKUP(A25,'Estado SCI'!$A$16:$I$59,9,0)</f>
        <v>Oportunidad de mejora</v>
      </c>
      <c r="G25" s="135">
        <f>+VLOOKUP(A25,'Estado SCI'!$A$16:$L$59,12,0)</f>
        <v>50.323</v>
      </c>
      <c r="H25" s="135">
        <f t="shared" si="0"/>
        <v>24</v>
      </c>
      <c r="I25" s="135" t="str">
        <f>+IF(VLOOKUP(A25,'Estado SCI'!$A$16:$G$59,7,0)="","",VLOOKUP(A25,'Estado SCI'!$A$16:$G$59,7,0))</f>
        <v>En proceso</v>
      </c>
      <c r="J25" s="136">
        <f t="shared" si="2"/>
        <v>0.5</v>
      </c>
      <c r="K25" s="137">
        <f t="shared" si="1"/>
        <v>0.7</v>
      </c>
    </row>
    <row r="26" spans="1:11" ht="15" customHeight="1" x14ac:dyDescent="0.3">
      <c r="A26" s="135" t="s">
        <v>165</v>
      </c>
      <c r="B26" s="135" t="s">
        <v>79</v>
      </c>
      <c r="C26" s="135" t="s">
        <v>88</v>
      </c>
      <c r="D26" s="135" t="s">
        <v>40</v>
      </c>
      <c r="E26" s="135" t="s">
        <v>83</v>
      </c>
      <c r="F26" s="135" t="str">
        <f>+VLOOKUP(A26,'Estado SCI'!$A$16:$I$59,9,0)</f>
        <v>Mantenimiento del control</v>
      </c>
      <c r="G26" s="135">
        <f>+VLOOKUP(A26,'Estado SCI'!$A$16:$L$59,12,0)</f>
        <v>60.323999999999998</v>
      </c>
      <c r="H26" s="135">
        <f t="shared" si="0"/>
        <v>26</v>
      </c>
      <c r="I26" s="135" t="str">
        <f>+IF(VLOOKUP(A26,'Estado SCI'!$A$16:$G$59,7,0)="","",VLOOKUP(A26,'Estado SCI'!$A$16:$G$59,7,0))</f>
        <v>Si</v>
      </c>
      <c r="J26" s="136">
        <f t="shared" si="2"/>
        <v>1</v>
      </c>
      <c r="K26" s="137">
        <f t="shared" si="1"/>
        <v>0.7</v>
      </c>
    </row>
    <row r="27" spans="1:11" ht="15.75" customHeight="1" x14ac:dyDescent="0.3">
      <c r="A27" s="135" t="s">
        <v>166</v>
      </c>
      <c r="B27" s="135" t="s">
        <v>79</v>
      </c>
      <c r="C27" s="135" t="s">
        <v>88</v>
      </c>
      <c r="D27" s="135" t="s">
        <v>42</v>
      </c>
      <c r="E27" s="135" t="s">
        <v>84</v>
      </c>
      <c r="F27" s="135" t="str">
        <f>+VLOOKUP(A27,'Estado SCI'!$A$16:$I$59,9,0)</f>
        <v>Oportunidad de mejora</v>
      </c>
      <c r="G27" s="135">
        <f>+VLOOKUP(A27,'Estado SCI'!$A$16:$L$59,12,0)</f>
        <v>50.325000000000003</v>
      </c>
      <c r="H27" s="135">
        <f t="shared" si="0"/>
        <v>25</v>
      </c>
      <c r="I27" s="135" t="str">
        <f>+IF(VLOOKUP(A27,'Estado SCI'!$A$16:$G$59,7,0)="","",VLOOKUP(A27,'Estado SCI'!$A$16:$G$59,7,0))</f>
        <v>En proceso</v>
      </c>
      <c r="J27" s="136">
        <f t="shared" si="2"/>
        <v>0.5</v>
      </c>
      <c r="K27" s="137">
        <f t="shared" si="1"/>
        <v>0.7</v>
      </c>
    </row>
    <row r="28" spans="1:11" ht="15" customHeight="1" x14ac:dyDescent="0.3">
      <c r="A28" s="135" t="s">
        <v>167</v>
      </c>
      <c r="B28" s="135" t="s">
        <v>79</v>
      </c>
      <c r="C28" s="135" t="s">
        <v>98</v>
      </c>
      <c r="D28" s="135" t="s">
        <v>44</v>
      </c>
      <c r="E28" s="135" t="s">
        <v>85</v>
      </c>
      <c r="F28" s="135" t="str">
        <f>+VLOOKUP(A28,'Estado SCI'!$A$16:$I$59,9,0)</f>
        <v>Mantenimiento del control</v>
      </c>
      <c r="G28" s="135">
        <f>+VLOOKUP(A28,'Estado SCI'!$A$16:$L$59,12,0)</f>
        <v>60.326000000000001</v>
      </c>
      <c r="H28" s="135">
        <f t="shared" si="0"/>
        <v>27</v>
      </c>
      <c r="I28" s="135" t="str">
        <f>+IF(VLOOKUP(A28,'Estado SCI'!$A$16:$G$59,7,0)="","",VLOOKUP(A28,'Estado SCI'!$A$16:$G$59,7,0))</f>
        <v>Si</v>
      </c>
      <c r="J28" s="136">
        <f t="shared" si="2"/>
        <v>1</v>
      </c>
      <c r="K28" s="137">
        <f t="shared" si="1"/>
        <v>0.7</v>
      </c>
    </row>
    <row r="29" spans="1:11" ht="15" customHeight="1" x14ac:dyDescent="0.3">
      <c r="A29" s="135" t="s">
        <v>168</v>
      </c>
      <c r="B29" s="135" t="str">
        <f>+VLOOKUP(A29,'Estado SCI'!$A$16:$C$59,3,0)</f>
        <v>INFORMACION Y COMUNICACIÓN</v>
      </c>
      <c r="C29" s="135" t="s">
        <v>98</v>
      </c>
      <c r="D29" s="135" t="s">
        <v>34</v>
      </c>
      <c r="E29" s="135" t="s">
        <v>89</v>
      </c>
      <c r="F29" s="135" t="str">
        <f>+VLOOKUP(A29,'Estado SCI'!$A$16:$I$59,9,0)</f>
        <v>Oportunidad de mejora</v>
      </c>
      <c r="G29" s="135">
        <f>+VLOOKUP(A29,'Estado SCI'!$A$16:$L$59,12,0)</f>
        <v>70.412000000000006</v>
      </c>
      <c r="H29" s="135">
        <f t="shared" si="0"/>
        <v>28</v>
      </c>
      <c r="I29" s="135" t="str">
        <f>+IF(VLOOKUP(A29,'Estado SCI'!$A$16:$G$59,7,0)="","",VLOOKUP(A29,'Estado SCI'!$A$16:$G$59,7,0))</f>
        <v>En proceso</v>
      </c>
      <c r="J29" s="136">
        <f t="shared" si="2"/>
        <v>0.5</v>
      </c>
      <c r="K29" s="137">
        <f t="shared" si="1"/>
        <v>0.6428571428571429</v>
      </c>
    </row>
    <row r="30" spans="1:11" ht="15" customHeight="1" x14ac:dyDescent="0.3">
      <c r="A30" s="135" t="s">
        <v>169</v>
      </c>
      <c r="B30" s="135" t="s">
        <v>87</v>
      </c>
      <c r="C30" s="135" t="s">
        <v>98</v>
      </c>
      <c r="D30" s="135" t="s">
        <v>37</v>
      </c>
      <c r="E30" s="135" t="s">
        <v>90</v>
      </c>
      <c r="F30" s="135" t="str">
        <f>+VLOOKUP(A30,'Estado SCI'!$A$16:$I$59,9,0)</f>
        <v>Oportunidad de mejora</v>
      </c>
      <c r="G30" s="135">
        <f>+VLOOKUP(A30,'Estado SCI'!$A$16:$L$59,12,0)</f>
        <v>70.412300000000002</v>
      </c>
      <c r="H30" s="135">
        <f t="shared" si="0"/>
        <v>29</v>
      </c>
      <c r="I30" s="135" t="str">
        <f>+IF(VLOOKUP(A30,'Estado SCI'!$A$16:$G$59,7,0)="","",VLOOKUP(A30,'Estado SCI'!$A$16:$G$59,7,0))</f>
        <v>En proceso</v>
      </c>
      <c r="J30" s="136">
        <f t="shared" si="2"/>
        <v>0.5</v>
      </c>
      <c r="K30" s="137">
        <f t="shared" si="1"/>
        <v>0.6428571428571429</v>
      </c>
    </row>
    <row r="31" spans="1:11" ht="15.75" customHeight="1" x14ac:dyDescent="0.3">
      <c r="A31" s="135" t="s">
        <v>170</v>
      </c>
      <c r="B31" s="135" t="s">
        <v>87</v>
      </c>
      <c r="C31" s="135" t="s">
        <v>98</v>
      </c>
      <c r="D31" s="135" t="s">
        <v>40</v>
      </c>
      <c r="E31" s="135" t="s">
        <v>91</v>
      </c>
      <c r="F31" s="135" t="str">
        <f>+VLOOKUP(A31,'Estado SCI'!$A$16:$I$59,9,0)</f>
        <v>Mantenimiento del control</v>
      </c>
      <c r="G31" s="135">
        <f>+VLOOKUP(A31,'Estado SCI'!$A$16:$L$59,12,0)</f>
        <v>80.41234</v>
      </c>
      <c r="H31" s="135">
        <f t="shared" si="0"/>
        <v>33</v>
      </c>
      <c r="I31" s="135" t="str">
        <f>+IF(VLOOKUP(A31,'Estado SCI'!$A$16:$G$59,7,0)="","",VLOOKUP(A31,'Estado SCI'!$A$16:$G$59,7,0))</f>
        <v>Si</v>
      </c>
      <c r="J31" s="136">
        <f t="shared" si="2"/>
        <v>1</v>
      </c>
      <c r="K31" s="137">
        <f t="shared" si="1"/>
        <v>0.6428571428571429</v>
      </c>
    </row>
    <row r="32" spans="1:11" x14ac:dyDescent="0.3">
      <c r="A32" s="135" t="s">
        <v>171</v>
      </c>
      <c r="B32" s="135" t="s">
        <v>87</v>
      </c>
      <c r="C32" s="135" t="s">
        <v>104</v>
      </c>
      <c r="D32" s="135" t="s">
        <v>42</v>
      </c>
      <c r="E32" s="135" t="s">
        <v>92</v>
      </c>
      <c r="F32" s="135" t="str">
        <f>+VLOOKUP(A32,'Estado SCI'!$A$16:$I$59,9,0)</f>
        <v>Mantenimiento del control</v>
      </c>
      <c r="G32" s="135">
        <f>+VLOOKUP(A32,'Estado SCI'!$A$16:$L$59,12,0)</f>
        <v>80.412345000000002</v>
      </c>
      <c r="H32" s="135">
        <f t="shared" si="0"/>
        <v>34</v>
      </c>
      <c r="I32" s="135" t="str">
        <f>+IF(VLOOKUP(A32,'Estado SCI'!$A$16:$G$59,7,0)="","",VLOOKUP(A32,'Estado SCI'!$A$16:$G$59,7,0))</f>
        <v>Si</v>
      </c>
      <c r="J32" s="136">
        <f t="shared" si="2"/>
        <v>1</v>
      </c>
      <c r="K32" s="137">
        <f t="shared" si="1"/>
        <v>0.6428571428571429</v>
      </c>
    </row>
    <row r="33" spans="1:11" x14ac:dyDescent="0.3">
      <c r="A33" s="135" t="s">
        <v>172</v>
      </c>
      <c r="B33" s="135" t="s">
        <v>87</v>
      </c>
      <c r="C33" s="135" t="s">
        <v>173</v>
      </c>
      <c r="D33" s="135" t="s">
        <v>44</v>
      </c>
      <c r="E33" s="135" t="s">
        <v>93</v>
      </c>
      <c r="F33" s="135" t="str">
        <f>+VLOOKUP(A33,'Estado SCI'!$A$16:$I$59,9,0)</f>
        <v>Oportunidad de mejora</v>
      </c>
      <c r="G33" s="135">
        <f>+VLOOKUP(A33,'Estado SCI'!$A$16:$L$59,12,0)</f>
        <v>70.412345599999995</v>
      </c>
      <c r="H33" s="135">
        <f t="shared" si="0"/>
        <v>30</v>
      </c>
      <c r="I33" s="135" t="str">
        <f>+IF(VLOOKUP(A33,'Estado SCI'!$A$16:$G$59,7,0)="","",VLOOKUP(A33,'Estado SCI'!$A$16:$G$59,7,0))</f>
        <v>En proceso</v>
      </c>
      <c r="J33" s="136">
        <f t="shared" si="2"/>
        <v>0.5</v>
      </c>
      <c r="K33" s="137">
        <f t="shared" si="1"/>
        <v>0.6428571428571429</v>
      </c>
    </row>
    <row r="34" spans="1:11" x14ac:dyDescent="0.3">
      <c r="A34" s="135" t="s">
        <v>174</v>
      </c>
      <c r="B34" s="135" t="s">
        <v>87</v>
      </c>
      <c r="C34" s="135" t="s">
        <v>173</v>
      </c>
      <c r="D34" s="135" t="s">
        <v>46</v>
      </c>
      <c r="E34" s="135" t="s">
        <v>94</v>
      </c>
      <c r="F34" s="135" t="str">
        <f>+VLOOKUP(A34,'Estado SCI'!$A$16:$I$59,9,0)</f>
        <v>Oportunidad de mejora</v>
      </c>
      <c r="G34" s="135">
        <f>+VLOOKUP(A34,'Estado SCI'!$A$16:$L$59,12,0)</f>
        <v>70.412345669999993</v>
      </c>
      <c r="H34" s="135">
        <f t="shared" si="0"/>
        <v>31</v>
      </c>
      <c r="I34" s="135" t="str">
        <f>+IF(VLOOKUP(A34,'Estado SCI'!$A$16:$G$59,7,0)="","",VLOOKUP(A34,'Estado SCI'!$A$16:$G$59,7,0))</f>
        <v>En proceso</v>
      </c>
      <c r="J34" s="136">
        <f t="shared" si="2"/>
        <v>0.5</v>
      </c>
      <c r="K34" s="137">
        <f t="shared" si="1"/>
        <v>0.6428571428571429</v>
      </c>
    </row>
    <row r="35" spans="1:11" x14ac:dyDescent="0.3">
      <c r="A35" s="135" t="s">
        <v>175</v>
      </c>
      <c r="B35" s="135" t="s">
        <v>87</v>
      </c>
      <c r="C35" s="135" t="s">
        <v>173</v>
      </c>
      <c r="D35" s="135" t="s">
        <v>48</v>
      </c>
      <c r="E35" s="135" t="s">
        <v>95</v>
      </c>
      <c r="F35" s="135" t="str">
        <f>+VLOOKUP(A35,'Estado SCI'!$A$16:$I$59,9,0)</f>
        <v>Oportunidad de mejora</v>
      </c>
      <c r="G35" s="135">
        <f>+VLOOKUP(A35,'Estado SCI'!$A$16:$L$59,12,0)</f>
        <v>70.412345677999994</v>
      </c>
      <c r="H35" s="135">
        <f t="shared" si="0"/>
        <v>32</v>
      </c>
      <c r="I35" s="135" t="str">
        <f>+IF(VLOOKUP(A35,'Estado SCI'!$A$16:$G$59,7,0)="","",VLOOKUP(A35,'Estado SCI'!$A$16:$G$59,7,0))</f>
        <v>En proceso</v>
      </c>
      <c r="J35" s="136">
        <f t="shared" si="2"/>
        <v>0.5</v>
      </c>
      <c r="K35" s="137">
        <f t="shared" si="1"/>
        <v>0.6428571428571429</v>
      </c>
    </row>
    <row r="36" spans="1:11" x14ac:dyDescent="0.3">
      <c r="A36" s="135" t="s">
        <v>176</v>
      </c>
      <c r="B36" s="135" t="str">
        <f>+VLOOKUP(A36,'Estado SCI'!$A$16:$C$59,3,0)</f>
        <v>ACTIVIDADES DE MONITOREO</v>
      </c>
      <c r="C36" s="135" t="s">
        <v>173</v>
      </c>
      <c r="D36" s="135" t="s">
        <v>34</v>
      </c>
      <c r="E36" s="135" t="s">
        <v>99</v>
      </c>
      <c r="F36" s="135" t="str">
        <f>+VLOOKUP(A36,'Estado SCI'!$A$16:$I$59,9,0)</f>
        <v>Mantenimiento del control</v>
      </c>
      <c r="G36" s="135">
        <f>+VLOOKUP(A36,'Estado SCI'!$A$16:$L$59,12,0)</f>
        <v>120.851</v>
      </c>
      <c r="H36" s="135">
        <f t="shared" si="0"/>
        <v>41</v>
      </c>
      <c r="I36" s="135" t="str">
        <f>+IF(VLOOKUP(A36,'Estado SCI'!$A$16:$G$59,7,0)="","",VLOOKUP(A36,'Estado SCI'!$A$16:$G$59,7,0))</f>
        <v>Si</v>
      </c>
      <c r="J36" s="136">
        <f t="shared" si="2"/>
        <v>1</v>
      </c>
      <c r="K36" s="137">
        <f t="shared" si="1"/>
        <v>0.65</v>
      </c>
    </row>
    <row r="37" spans="1:11" x14ac:dyDescent="0.3">
      <c r="A37" s="135" t="s">
        <v>177</v>
      </c>
      <c r="B37" s="135" t="s">
        <v>97</v>
      </c>
      <c r="C37" s="135" t="s">
        <v>173</v>
      </c>
      <c r="D37" s="135" t="s">
        <v>42</v>
      </c>
      <c r="E37" s="135" t="s">
        <v>100</v>
      </c>
      <c r="F37" s="135" t="str">
        <f>+VLOOKUP(A37,'Estado SCI'!$A$16:$I$59,9,0)</f>
        <v>Mantenimiento del control</v>
      </c>
      <c r="G37" s="135">
        <f>+VLOOKUP(A37,'Estado SCI'!$A$16:$L$59,12,0)</f>
        <v>120.85120000000001</v>
      </c>
      <c r="H37" s="135">
        <f t="shared" si="0"/>
        <v>42</v>
      </c>
      <c r="I37" s="135" t="str">
        <f>+IF(VLOOKUP(A37,'Estado SCI'!$A$16:$G$59,7,0)="","",VLOOKUP(A37,'Estado SCI'!$A$16:$G$59,7,0))</f>
        <v>Si</v>
      </c>
      <c r="J37" s="136">
        <f t="shared" si="2"/>
        <v>1</v>
      </c>
      <c r="K37" s="137">
        <f t="shared" si="1"/>
        <v>0.65</v>
      </c>
    </row>
    <row r="38" spans="1:11" x14ac:dyDescent="0.3">
      <c r="A38" s="135" t="s">
        <v>178</v>
      </c>
      <c r="B38" s="135" t="s">
        <v>97</v>
      </c>
      <c r="C38" s="135" t="s">
        <v>68</v>
      </c>
      <c r="D38" s="135" t="s">
        <v>46</v>
      </c>
      <c r="E38" s="135" t="s">
        <v>101</v>
      </c>
      <c r="F38" s="135" t="str">
        <f>+VLOOKUP(A38,'Estado SCI'!$A$16:$I$59,9,0)</f>
        <v>Mantenimiento del control</v>
      </c>
      <c r="G38" s="135">
        <f>+VLOOKUP(A38,'Estado SCI'!$A$16:$L$59,12,0)</f>
        <v>120.85123</v>
      </c>
      <c r="H38" s="135">
        <f t="shared" si="0"/>
        <v>43</v>
      </c>
      <c r="I38" s="135" t="str">
        <f>+IF(VLOOKUP(A38,'Estado SCI'!$A$16:$G$59,7,0)="","",VLOOKUP(A38,'Estado SCI'!$A$16:$G$59,7,0))</f>
        <v>Si</v>
      </c>
      <c r="J38" s="136">
        <f t="shared" si="2"/>
        <v>1</v>
      </c>
      <c r="K38" s="137">
        <f t="shared" si="1"/>
        <v>0.65</v>
      </c>
    </row>
    <row r="39" spans="1:11" x14ac:dyDescent="0.3">
      <c r="A39" s="135" t="s">
        <v>179</v>
      </c>
      <c r="B39" s="135" t="s">
        <v>97</v>
      </c>
      <c r="C39" s="135" t="s">
        <v>68</v>
      </c>
      <c r="D39" s="135" t="s">
        <v>48</v>
      </c>
      <c r="E39" s="135" t="s">
        <v>102</v>
      </c>
      <c r="F39" s="135" t="str">
        <f>+VLOOKUP(A39,'Estado SCI'!$A$16:$I$59,9,0)</f>
        <v>Mantenimiento del control</v>
      </c>
      <c r="G39" s="135">
        <f>+VLOOKUP(A39,'Estado SCI'!$A$16:$L$59,12,0)</f>
        <v>120.85123400000001</v>
      </c>
      <c r="H39" s="135">
        <f t="shared" si="0"/>
        <v>44</v>
      </c>
      <c r="I39" s="135" t="str">
        <f>+IF(VLOOKUP(A39,'Estado SCI'!$A$16:$G$59,7,0)="","",VLOOKUP(A39,'Estado SCI'!$A$16:$G$59,7,0))</f>
        <v>Si</v>
      </c>
      <c r="J39" s="136">
        <f t="shared" si="2"/>
        <v>1</v>
      </c>
      <c r="K39" s="137">
        <f t="shared" si="1"/>
        <v>0.65</v>
      </c>
    </row>
    <row r="40" spans="1:11" x14ac:dyDescent="0.3">
      <c r="A40" s="135" t="s">
        <v>180</v>
      </c>
      <c r="B40" s="135" t="s">
        <v>97</v>
      </c>
      <c r="C40" s="135" t="s">
        <v>68</v>
      </c>
      <c r="D40" s="135" t="s">
        <v>50</v>
      </c>
      <c r="E40" s="135" t="s">
        <v>105</v>
      </c>
      <c r="F40" s="135" t="str">
        <f>+VLOOKUP(A40,'Estado SCI'!$A$16:$I$59,9,0)</f>
        <v>Deficiencia de control</v>
      </c>
      <c r="G40" s="135">
        <f>+VLOOKUP(A40,'Estado SCI'!$A$16:$L$59,12,0)</f>
        <v>80.851234500000004</v>
      </c>
      <c r="H40" s="135">
        <f t="shared" si="0"/>
        <v>35</v>
      </c>
      <c r="I40" s="135" t="str">
        <f>+IF(VLOOKUP(A40,'Estado SCI'!$A$16:$G$59,7,0)="","",VLOOKUP(A40,'Estado SCI'!$A$16:$G$59,7,0))</f>
        <v>No</v>
      </c>
      <c r="J40" s="136">
        <f t="shared" si="2"/>
        <v>0</v>
      </c>
      <c r="K40" s="137">
        <f t="shared" si="1"/>
        <v>0.65</v>
      </c>
    </row>
    <row r="41" spans="1:11" x14ac:dyDescent="0.3">
      <c r="A41" s="135" t="s">
        <v>181</v>
      </c>
      <c r="B41" s="135" t="s">
        <v>97</v>
      </c>
      <c r="C41" s="135" t="s">
        <v>68</v>
      </c>
      <c r="D41" s="135" t="s">
        <v>34</v>
      </c>
      <c r="E41" s="135" t="s">
        <v>108</v>
      </c>
      <c r="F41" s="135" t="str">
        <f>+VLOOKUP(A41,'Estado SCI'!$A$16:$I$59,9,0)</f>
        <v>Oportunidad de mejora</v>
      </c>
      <c r="G41" s="135">
        <f>+VLOOKUP(A41,'Estado SCI'!$A$16:$L$59,12,0)</f>
        <v>100.85123455999999</v>
      </c>
      <c r="H41" s="135">
        <f t="shared" si="0"/>
        <v>36</v>
      </c>
      <c r="I41" s="135" t="str">
        <f>+IF(VLOOKUP(A41,'Estado SCI'!$A$16:$G$59,7,0)="","",VLOOKUP(A41,'Estado SCI'!$A$16:$G$59,7,0))</f>
        <v>En proceso</v>
      </c>
      <c r="J41" s="136">
        <f t="shared" si="2"/>
        <v>0.5</v>
      </c>
      <c r="K41" s="137">
        <f t="shared" si="1"/>
        <v>0.65</v>
      </c>
    </row>
    <row r="42" spans="1:11" x14ac:dyDescent="0.3">
      <c r="A42" s="135" t="s">
        <v>182</v>
      </c>
      <c r="B42" s="135" t="s">
        <v>97</v>
      </c>
      <c r="C42" s="135" t="s">
        <v>73</v>
      </c>
      <c r="D42" s="135" t="s">
        <v>37</v>
      </c>
      <c r="E42" s="135" t="s">
        <v>109</v>
      </c>
      <c r="F42" s="135" t="str">
        <f>+VLOOKUP(A42,'Estado SCI'!$A$16:$I$59,9,0)</f>
        <v>Oportunidad de mejora</v>
      </c>
      <c r="G42" s="135">
        <f>+VLOOKUP(A42,'Estado SCI'!$A$16:$L$59,12,0)</f>
        <v>100.85123456700001</v>
      </c>
      <c r="H42" s="135">
        <f t="shared" si="0"/>
        <v>37</v>
      </c>
      <c r="I42" s="135" t="str">
        <f>+IF(VLOOKUP(A42,'Estado SCI'!$A$16:$G$59,7,0)="","",VLOOKUP(A42,'Estado SCI'!$A$16:$G$59,7,0))</f>
        <v>En proceso</v>
      </c>
      <c r="J42" s="136">
        <f t="shared" si="2"/>
        <v>0.5</v>
      </c>
      <c r="K42" s="137">
        <f t="shared" si="1"/>
        <v>0.65</v>
      </c>
    </row>
    <row r="43" spans="1:11" x14ac:dyDescent="0.3">
      <c r="A43" s="135" t="s">
        <v>183</v>
      </c>
      <c r="B43" s="135" t="s">
        <v>97</v>
      </c>
      <c r="C43" s="135" t="s">
        <v>73</v>
      </c>
      <c r="D43" s="135" t="s">
        <v>40</v>
      </c>
      <c r="E43" s="135" t="s">
        <v>110</v>
      </c>
      <c r="F43" s="135" t="str">
        <f>+VLOOKUP(A43,'Estado SCI'!$A$16:$I$59,9,0)</f>
        <v>Oportunidad de mejora</v>
      </c>
      <c r="G43" s="135">
        <f>+VLOOKUP(A43,'Estado SCI'!$A$16:$L$59,12,0)</f>
        <v>100.85123456780001</v>
      </c>
      <c r="H43" s="135">
        <f t="shared" si="0"/>
        <v>38</v>
      </c>
      <c r="I43" s="135" t="str">
        <f>+IF(VLOOKUP(A43,'Estado SCI'!$A$16:$G$59,7,0)="","",VLOOKUP(A43,'Estado SCI'!$A$16:$G$59,7,0))</f>
        <v>En proceso</v>
      </c>
      <c r="J43" s="136">
        <f t="shared" si="2"/>
        <v>0.5</v>
      </c>
      <c r="K43" s="137">
        <f t="shared" si="1"/>
        <v>0.65</v>
      </c>
    </row>
    <row r="44" spans="1:11" x14ac:dyDescent="0.3">
      <c r="A44" s="135" t="s">
        <v>184</v>
      </c>
      <c r="B44" s="135" t="s">
        <v>97</v>
      </c>
      <c r="C44" s="135" t="s">
        <v>73</v>
      </c>
      <c r="D44" s="135" t="s">
        <v>42</v>
      </c>
      <c r="E44" s="135" t="s">
        <v>111</v>
      </c>
      <c r="F44" s="135" t="str">
        <f>+VLOOKUP(A44,'Estado SCI'!$A$16:$I$59,9,0)</f>
        <v>Oportunidad de mejora</v>
      </c>
      <c r="G44" s="135">
        <f>+VLOOKUP(A44,'Estado SCI'!$A$16:$L$59,12,0)</f>
        <v>100.85123456789</v>
      </c>
      <c r="H44" s="135">
        <f t="shared" si="0"/>
        <v>39</v>
      </c>
      <c r="I44" s="135" t="str">
        <f>+IF(VLOOKUP(A44,'Estado SCI'!$A$16:$G$59,7,0)="","",VLOOKUP(A44,'Estado SCI'!$A$16:$G$59,7,0))</f>
        <v>En proceso</v>
      </c>
      <c r="J44" s="136">
        <f t="shared" si="2"/>
        <v>0.5</v>
      </c>
      <c r="K44" s="137">
        <f t="shared" si="1"/>
        <v>0.65</v>
      </c>
    </row>
    <row r="45" spans="1:11" x14ac:dyDescent="0.3">
      <c r="A45" s="135" t="s">
        <v>185</v>
      </c>
      <c r="B45" s="135" t="s">
        <v>97</v>
      </c>
      <c r="C45" s="135" t="s">
        <v>73</v>
      </c>
      <c r="D45" s="135" t="s">
        <v>44</v>
      </c>
      <c r="E45" s="135" t="s">
        <v>112</v>
      </c>
      <c r="F45" s="135" t="str">
        <f>+VLOOKUP(A45,'Estado SCI'!$A$16:$I$59,9,0)</f>
        <v>Oportunidad de mejora</v>
      </c>
      <c r="G45" s="135">
        <f>+VLOOKUP(A45,'Estado SCI'!$A$16:$L$59,12,0)</f>
        <v>100.851234567891</v>
      </c>
      <c r="H45" s="135">
        <f t="shared" si="0"/>
        <v>40</v>
      </c>
      <c r="I45" s="135" t="str">
        <f>+IF(VLOOKUP(A45,'Estado SCI'!$A$16:$G$59,7,0)="","",VLOOKUP(A45,'Estado SCI'!$A$16:$G$59,7,0))</f>
        <v>En proceso</v>
      </c>
      <c r="J45" s="136">
        <f t="shared" si="2"/>
        <v>0.5</v>
      </c>
      <c r="K45" s="137">
        <f t="shared" si="1"/>
        <v>0.65</v>
      </c>
    </row>
  </sheetData>
  <sheetProtection algorithmName="SHA-512" hashValue="eXgkKlTi9xJKAI7t6Aeb2RaFpkfyF43pI2BIhtxDc7hsl0SqLK8I4Wc7jbZwC5kw3uyIHOBIUXRnh5cC70LKYA==" saltValue="AxKzX6Ar80vT7acQV8rFpQ==" spinCount="100000" sheet="1" objects="1" scenarios="1" selectLockedCells="1"/>
  <autoFilter ref="A1:K45" xr:uid="{00000000-0009-0000-0000-000004000000}"/>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 Juntas Piso 6</dc:creator>
  <cp:keywords/>
  <dc:description/>
  <cp:lastModifiedBy>123</cp:lastModifiedBy>
  <cp:revision/>
  <cp:lastPrinted>2025-07-29T02:42:19Z</cp:lastPrinted>
  <dcterms:created xsi:type="dcterms:W3CDTF">2020-04-28T13:58:09Z</dcterms:created>
  <dcterms:modified xsi:type="dcterms:W3CDTF">2025-07-29T02:42:27Z</dcterms:modified>
  <cp:category/>
  <cp:contentStatus/>
</cp:coreProperties>
</file>